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230" firstSheet="5" activeTab="5"/>
  </bookViews>
  <sheets>
    <sheet name="2013결산추경총칙" sheetId="1" state="hidden" r:id="rId1"/>
    <sheet name="2013총괄표(추경)" sheetId="2" state="hidden" r:id="rId2"/>
    <sheet name="2013세입예산(추경)" sheetId="3" state="hidden" r:id="rId3"/>
    <sheet name="2013세출예산(추경)" sheetId="4" state="hidden" r:id="rId4"/>
    <sheet name="2013인건비" sheetId="5" state="hidden" r:id="rId5"/>
    <sheet name="2014.2차추가경정예산총칙" sheetId="6" r:id="rId6"/>
    <sheet name="2014총괄표" sheetId="7" r:id="rId7"/>
    <sheet name="2014세입예산" sheetId="8" r:id="rId8"/>
    <sheet name="2014세출예산" sheetId="9" r:id="rId9"/>
    <sheet name="2014인건비" sheetId="10" r:id="rId10"/>
    <sheet name="Sheet19" sheetId="11" r:id="rId11"/>
    <sheet name="Sheet20" sheetId="12" r:id="rId12"/>
    <sheet name="Sheet21" sheetId="13" r:id="rId13"/>
    <sheet name="Sheet22" sheetId="14" r:id="rId14"/>
  </sheets>
  <definedNames>
    <definedName name="_xlnm.Print_Titles" localSheetId="1">'2013총괄표(추경)'!$7:$10</definedName>
  </definedNames>
  <calcPr fullCalcOnLoad="1"/>
</workbook>
</file>

<file path=xl/comments10.xml><?xml version="1.0" encoding="utf-8"?>
<comments xmlns="http://schemas.openxmlformats.org/spreadsheetml/2006/main">
  <authors>
    <author>서버</author>
  </authors>
  <commentList>
    <comment ref="E44" authorId="0">
      <text>
        <r>
          <rPr>
            <b/>
            <sz val="9"/>
            <rFont val="굴림"/>
            <family val="3"/>
          </rPr>
          <t>서버: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서버</author>
  </authors>
  <commentList>
    <comment ref="E46" authorId="0">
      <text>
        <r>
          <rPr>
            <b/>
            <sz val="9"/>
            <rFont val="굴림"/>
            <family val="3"/>
          </rPr>
          <t>서버: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서버</author>
  </authors>
  <commentList>
    <comment ref="E44" authorId="0">
      <text>
        <r>
          <rPr>
            <b/>
            <sz val="9"/>
            <rFont val="굴림"/>
            <family val="3"/>
          </rPr>
          <t>서버: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<sst xmlns="http://schemas.openxmlformats.org/spreadsheetml/2006/main" count="1099" uniqueCount="274">
  <si>
    <t>생활지도원</t>
  </si>
  <si>
    <t>김은희</t>
  </si>
  <si>
    <t>이영화</t>
  </si>
  <si>
    <t>장기요양보험</t>
  </si>
  <si>
    <t>보조금
수   입</t>
  </si>
  <si>
    <t>사무비</t>
  </si>
  <si>
    <t>인건비</t>
  </si>
  <si>
    <t>업  무
추진비</t>
  </si>
  <si>
    <t>후원금</t>
  </si>
  <si>
    <t>전입금</t>
  </si>
  <si>
    <t>재  산
조성비</t>
  </si>
  <si>
    <t>이월금</t>
  </si>
  <si>
    <t>사업비</t>
  </si>
  <si>
    <t>잡수입</t>
  </si>
  <si>
    <t>일  반
사업비</t>
  </si>
  <si>
    <r>
      <t xml:space="preserve"> </t>
    </r>
    <r>
      <rPr>
        <b/>
        <sz val="12"/>
        <rFont val="돋움"/>
        <family val="3"/>
      </rPr>
      <t xml:space="preserve">1. 세입 . 세출  </t>
    </r>
    <r>
      <rPr>
        <sz val="12"/>
        <rFont val="돋움"/>
        <family val="3"/>
      </rPr>
      <t xml:space="preserve">                                                                                                    ( 단위 : 천원 )</t>
    </r>
  </si>
  <si>
    <t xml:space="preserve">사무국장 </t>
  </si>
  <si>
    <t>김석순</t>
  </si>
  <si>
    <t xml:space="preserve">
보조금
수   입
</t>
  </si>
  <si>
    <t>소 계</t>
  </si>
  <si>
    <t>지   정
후원금</t>
  </si>
  <si>
    <t>비지정
후원금</t>
  </si>
  <si>
    <t>법   인
전입금</t>
  </si>
  <si>
    <t>기타예금
이자수입</t>
  </si>
  <si>
    <t>기   타
잡수입</t>
  </si>
  <si>
    <t>기타
보조금수입</t>
  </si>
  <si>
    <t>후원금
수   입</t>
  </si>
  <si>
    <t xml:space="preserve">
후원금
수   입
</t>
  </si>
  <si>
    <t>* 회의비                          1,000,000</t>
  </si>
  <si>
    <t xml:space="preserve">* 기관운영비                   1,000,000      </t>
  </si>
  <si>
    <t>예비비</t>
  </si>
  <si>
    <t>운영비</t>
  </si>
  <si>
    <t>시설비</t>
  </si>
  <si>
    <t>증감(B)-(A)</t>
  </si>
  <si>
    <t>법  인
전입금</t>
  </si>
  <si>
    <t>생계비</t>
  </si>
  <si>
    <t>급  여</t>
  </si>
  <si>
    <t>제수당</t>
  </si>
  <si>
    <t>사회보험
부 담 금</t>
  </si>
  <si>
    <t>기타후생경 비</t>
  </si>
  <si>
    <t>여비</t>
  </si>
  <si>
    <t>수용비및
수 수 료</t>
  </si>
  <si>
    <t>공공요금</t>
  </si>
  <si>
    <t>제  세
공과금</t>
  </si>
  <si>
    <t>차량비</t>
  </si>
  <si>
    <t>기타
운영비</t>
  </si>
  <si>
    <t>자  산
취득비</t>
  </si>
  <si>
    <t>시설장비
유 지 비</t>
  </si>
  <si>
    <t>수용기관
경 비</t>
  </si>
  <si>
    <t>피복비</t>
  </si>
  <si>
    <t>의료비</t>
  </si>
  <si>
    <t>장의비</t>
  </si>
  <si>
    <t>특별
급식비</t>
  </si>
  <si>
    <t>연료비</t>
  </si>
  <si>
    <t>개인결연
사 업 비</t>
  </si>
  <si>
    <t>잡지출</t>
  </si>
  <si>
    <t>기관
운영비</t>
  </si>
  <si>
    <t>회의비</t>
  </si>
  <si>
    <r>
      <t xml:space="preserve">
</t>
    </r>
    <r>
      <rPr>
        <sz val="10"/>
        <rFont val="돋움"/>
        <family val="3"/>
      </rPr>
      <t>제2조  세입.세출 예산 명세는 별첨 " 세입.세출 예산서"와 같다.
제3조  국가 또는 지방자치단체로부터 교부된 보조금 및 수익자부담 경비 등은 추가경정예산의 성립 
          이전에 사용할 수 있으며, 이는 차기 추가경정예산에 반영하여야 한다.
제4조  세출경비의 부족이 생겼을 때는 사회복지법인 재무회계규칙  제16조에 의거하여 예산을 전용할 
          수 있다. 단, 동일 항내의 목간전용이 불가피한 경우에는 시설의 장이 동일 항내의 목간 전용을 
          한다.
제5조  기타 필요한 사항</t>
    </r>
  </si>
  <si>
    <t>일반
사업비</t>
  </si>
  <si>
    <t>권영진</t>
  </si>
  <si>
    <t>장기근속수당</t>
  </si>
  <si>
    <t>세                 입</t>
  </si>
  <si>
    <t>합        계</t>
  </si>
  <si>
    <t>항</t>
  </si>
  <si>
    <t>합       계</t>
  </si>
  <si>
    <t>개인결연
사  업 비</t>
  </si>
  <si>
    <t>특   별
급식비</t>
  </si>
  <si>
    <t>자   산
취득비</t>
  </si>
  <si>
    <t>수용비및
수  수 료</t>
  </si>
  <si>
    <t>여 비</t>
  </si>
  <si>
    <t>세   출   예   산</t>
  </si>
  <si>
    <t>세   입   예   산</t>
  </si>
  <si>
    <t>산출기초</t>
  </si>
  <si>
    <t>관</t>
  </si>
  <si>
    <t>목</t>
  </si>
  <si>
    <t>재산
조성비</t>
  </si>
  <si>
    <t>과  목</t>
  </si>
  <si>
    <t>합계</t>
  </si>
  <si>
    <t>1. 세 입</t>
  </si>
  <si>
    <t>(단위:천원)</t>
  </si>
  <si>
    <t>사업비</t>
  </si>
  <si>
    <t>생계비</t>
  </si>
  <si>
    <t>잡지출</t>
  </si>
  <si>
    <t>순</t>
  </si>
  <si>
    <t>호봉</t>
  </si>
  <si>
    <t>기본급</t>
  </si>
  <si>
    <t>기말수당</t>
  </si>
  <si>
    <t>가계지원비</t>
  </si>
  <si>
    <t>정근수당</t>
  </si>
  <si>
    <t>명절휴가비</t>
  </si>
  <si>
    <t>원장</t>
  </si>
  <si>
    <t>생활지도원</t>
  </si>
  <si>
    <t>영양사</t>
  </si>
  <si>
    <t>예산대비</t>
  </si>
  <si>
    <t>주정희</t>
  </si>
  <si>
    <t>직 책</t>
  </si>
  <si>
    <t>수용기관
경     비</t>
  </si>
  <si>
    <t>총   괄   표</t>
  </si>
  <si>
    <t>기    타
후생경비</t>
  </si>
  <si>
    <t>세                 출</t>
  </si>
  <si>
    <t>김기영</t>
  </si>
  <si>
    <t>교통급식비</t>
  </si>
  <si>
    <t>예   산   총   칙</t>
  </si>
  <si>
    <t>허말선</t>
  </si>
  <si>
    <t>시간외수당</t>
  </si>
  <si>
    <t>특수근무수당</t>
  </si>
  <si>
    <t>고용보험</t>
  </si>
  <si>
    <t>산재보험</t>
  </si>
  <si>
    <t>성 명</t>
  </si>
  <si>
    <t>예산총액</t>
  </si>
  <si>
    <t>총급여액</t>
  </si>
  <si>
    <t>계</t>
  </si>
  <si>
    <t>조 리 원</t>
  </si>
  <si>
    <t>위 생 원</t>
  </si>
  <si>
    <t>총 지급금액</t>
  </si>
  <si>
    <t>가계보조수당</t>
  </si>
  <si>
    <t xml:space="preserve"> 지급금액</t>
  </si>
  <si>
    <t>국민연금</t>
  </si>
  <si>
    <t>건강보험</t>
  </si>
  <si>
    <t>가족수당</t>
  </si>
  <si>
    <t>증      감</t>
  </si>
  <si>
    <t>퇴직적립금</t>
  </si>
  <si>
    <t>간호조무사</t>
  </si>
  <si>
    <t>박정대</t>
  </si>
  <si>
    <t>4대보험합계</t>
  </si>
  <si>
    <t>복지수당</t>
  </si>
  <si>
    <t xml:space="preserve">인건비
</t>
  </si>
  <si>
    <t>2. 세 출</t>
  </si>
  <si>
    <t>2013년도  예산 종사자 보수 일람표</t>
  </si>
  <si>
    <t>박순자</t>
  </si>
  <si>
    <t>복지과장</t>
  </si>
  <si>
    <t>홍영희</t>
  </si>
  <si>
    <t>손정숙</t>
  </si>
  <si>
    <t>손미영</t>
  </si>
  <si>
    <t>노순자</t>
  </si>
  <si>
    <t>박노순</t>
  </si>
  <si>
    <t>법   인
전입금
(후원금)</t>
  </si>
  <si>
    <t>전년도
이월금</t>
  </si>
  <si>
    <t>전년도
이월금
(후원금)</t>
  </si>
  <si>
    <t>국고보조금</t>
  </si>
  <si>
    <r>
      <t xml:space="preserve"> </t>
    </r>
    <r>
      <rPr>
        <b/>
        <sz val="10"/>
        <rFont val="돋움"/>
        <family val="3"/>
      </rPr>
      <t>*</t>
    </r>
    <r>
      <rPr>
        <b/>
        <sz val="11"/>
        <rFont val="돋움"/>
        <family val="3"/>
      </rPr>
      <t xml:space="preserve">사회보험부담비용 ( 계 35,367,600)
</t>
    </r>
    <r>
      <rPr>
        <sz val="9"/>
        <rFont val="돋움"/>
        <family val="3"/>
      </rPr>
      <t xml:space="preserve">-국민건강보험 </t>
    </r>
    <r>
      <rPr>
        <sz val="8"/>
        <rFont val="돋움"/>
        <family val="3"/>
      </rPr>
      <t xml:space="preserve">급여총액*2,95%=  11,486,530
-장기요양보험  건강보험료*6.55%=    752,310
</t>
    </r>
    <r>
      <rPr>
        <sz val="9"/>
        <rFont val="돋움"/>
        <family val="3"/>
      </rPr>
      <t xml:space="preserve">-국민연금보험 </t>
    </r>
    <r>
      <rPr>
        <sz val="8"/>
        <rFont val="돋움"/>
        <family val="3"/>
      </rPr>
      <t>급여총액</t>
    </r>
    <r>
      <rPr>
        <sz val="9"/>
        <rFont val="돋움"/>
        <family val="3"/>
      </rPr>
      <t xml:space="preserve">*4.5% =  </t>
    </r>
    <r>
      <rPr>
        <sz val="8"/>
        <rFont val="돋움"/>
        <family val="3"/>
      </rPr>
      <t>17,521,890</t>
    </r>
    <r>
      <rPr>
        <sz val="9"/>
        <rFont val="돋움"/>
        <family val="3"/>
      </rPr>
      <t xml:space="preserve">
-고용보험       </t>
    </r>
    <r>
      <rPr>
        <sz val="8"/>
        <rFont val="돋움"/>
        <family val="3"/>
      </rPr>
      <t>급여총액</t>
    </r>
    <r>
      <rPr>
        <sz val="9"/>
        <rFont val="돋움"/>
        <family val="3"/>
      </rPr>
      <t xml:space="preserve">*0.7% =   </t>
    </r>
    <r>
      <rPr>
        <sz val="8"/>
        <rFont val="돋움"/>
        <family val="3"/>
      </rPr>
      <t>2,725,550</t>
    </r>
    <r>
      <rPr>
        <sz val="9"/>
        <rFont val="돋움"/>
        <family val="3"/>
      </rPr>
      <t xml:space="preserve">
-산재보험       </t>
    </r>
    <r>
      <rPr>
        <sz val="8"/>
        <rFont val="돋움"/>
        <family val="3"/>
      </rPr>
      <t>급여총액</t>
    </r>
    <r>
      <rPr>
        <sz val="9"/>
        <rFont val="돋움"/>
        <family val="3"/>
      </rPr>
      <t xml:space="preserve">*0.74 =    </t>
    </r>
    <r>
      <rPr>
        <sz val="8"/>
        <rFont val="돋움"/>
        <family val="3"/>
      </rPr>
      <t>2,881,320</t>
    </r>
  </si>
  <si>
    <r>
      <t xml:space="preserve">*수용기관경비   ( 계 1,946,250)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-수용비           75명*25,950 =  1,946,250</t>
    </r>
  </si>
  <si>
    <r>
      <t xml:space="preserve">*특별급식비         ( 계 18,122,250)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-간식비       75명*662*365일 = 18,122,250</t>
    </r>
  </si>
  <si>
    <r>
      <t xml:space="preserve">
*의료비  ( 계 960,000)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-의료용품비  80,000*12월=  960,000</t>
    </r>
  </si>
  <si>
    <t>반환금</t>
  </si>
  <si>
    <t>예비비
및
기   타</t>
  </si>
  <si>
    <t>예비비
및 기타</t>
  </si>
  <si>
    <t>보조금
수   입</t>
  </si>
  <si>
    <t>후원금</t>
  </si>
  <si>
    <t>법  인
전입금
(후원금)</t>
  </si>
  <si>
    <t>전년도
이월금
(후원금)</t>
  </si>
  <si>
    <t>재산
조성비</t>
  </si>
  <si>
    <r>
      <t xml:space="preserve">*법인전입금         ( 계            0 )
</t>
    </r>
    <r>
      <rPr>
        <sz val="10"/>
        <rFont val="돋움"/>
        <family val="3"/>
      </rPr>
      <t xml:space="preserve">
</t>
    </r>
  </si>
  <si>
    <t>사회복지법인  황전양로원</t>
  </si>
  <si>
    <t>시군구
보조금</t>
  </si>
  <si>
    <t>국   고
보조금</t>
  </si>
  <si>
    <t>사회복지법인 황전양로원</t>
  </si>
  <si>
    <r>
      <rPr>
        <b/>
        <sz val="11"/>
        <rFont val="돋움"/>
        <family val="3"/>
      </rPr>
      <t xml:space="preserve">*인건비      ( 계 457,192,140)
</t>
    </r>
    <r>
      <rPr>
        <sz val="9"/>
        <rFont val="돋움"/>
        <family val="3"/>
      </rPr>
      <t xml:space="preserve">
-기본급             14명*12월 =  193,180,050
-복지수당          14명*12월 =   29,610,000
-기말수당          14명*4월  =    32,034,630
-가계지원비       14명*4월  =    32,034,630
-장기근속수당    11명*12월 =     5,292,000
-정근수당          14명*2월  =    25,584,570
-가계보조수당    14명*12월 =     8,820,000
-명절휴가비       14명*2월  =    15,894,110
-교통급식비       14명*12월 =    19,404,000
-시간외수당       13명*12월 =    16,158,560
-특수근무수당    12명*12월 =     7,836,000
-가족수당          12명*12월 =     3,528,000
-국민연금보험    14명*12월 =    17,521,890
-국민건강보험    14명*12월 =    12,238,840
-고용보험료       14명*12월 =     2,725,550
-산재보험료       14명*12월 =     2,881,320
-퇴직적립금       14명*12월 =    32,447,990
</t>
    </r>
    <r>
      <rPr>
        <b/>
        <sz val="11"/>
        <rFont val="돋움"/>
        <family val="3"/>
      </rPr>
      <t xml:space="preserve">*운영비        ( 계 57,788,250 )
</t>
    </r>
    <r>
      <rPr>
        <sz val="9"/>
        <rFont val="돋움"/>
        <family val="3"/>
      </rPr>
      <t xml:space="preserve">
-시설운영비  75명*770,510원 = 57,788,250
</t>
    </r>
    <r>
      <rPr>
        <b/>
        <sz val="11"/>
        <rFont val="돋움"/>
        <family val="3"/>
      </rPr>
      <t xml:space="preserve">*지방자치보조금   ( 계 35,043,750)  
</t>
    </r>
    <r>
      <rPr>
        <sz val="9"/>
        <rFont val="돋움"/>
        <family val="3"/>
      </rPr>
      <t xml:space="preserve">
-부식비 및 간식비 75명*422,100원 = 31,657,500
-수용경비 난방비  75명* 45,150원=    3,386,250</t>
    </r>
  </si>
  <si>
    <t>퇴직금 및
퇴직적립금</t>
  </si>
  <si>
    <t xml:space="preserve">퇴 직 금 및
퇴직적립금  </t>
  </si>
  <si>
    <t>사회보험
부담금</t>
  </si>
  <si>
    <r>
      <t xml:space="preserve">  *기본급여  ( 계 193,180,050)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-원장 외 13명    16,098,337*12월=   193,180,050</t>
    </r>
  </si>
  <si>
    <r>
      <t>*기말수당     ( 계  32,034,630  )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-원장 외 13명    8,008,650*4월=  32,034,630</t>
    </r>
  </si>
  <si>
    <r>
      <t>*가계지원비   ( 계  32,034,630   )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-원장 외 13명    8,008,658*4월=  32,034,630</t>
    </r>
  </si>
  <si>
    <r>
      <t xml:space="preserve"> *명절휴가비       ( 계 15,894,110)</t>
    </r>
    <r>
      <rPr>
        <b/>
        <u val="single"/>
        <sz val="11"/>
        <rFont val="돋움"/>
        <family val="3"/>
      </rPr>
      <t xml:space="preserve">
</t>
    </r>
    <r>
      <rPr>
        <sz val="9"/>
        <rFont val="돋움"/>
        <family val="3"/>
      </rPr>
      <t>-원장 외 13명    7,947,055*2월=   15,894,110</t>
    </r>
  </si>
  <si>
    <r>
      <t xml:space="preserve"> *가계보조수당     ( 계 8,820,000)</t>
    </r>
    <r>
      <rPr>
        <sz val="9"/>
        <rFont val="돋움"/>
        <family val="3"/>
      </rPr>
      <t xml:space="preserve">
-원장 외 13명    735,000*12월=   8,820,000
</t>
    </r>
  </si>
  <si>
    <r>
      <t xml:space="preserve"> *가족수당       ( 계 3,528,000 )</t>
    </r>
    <r>
      <rPr>
        <b/>
        <u val="single"/>
        <sz val="11"/>
        <rFont val="돋움"/>
        <family val="3"/>
      </rPr>
      <t xml:space="preserve">
</t>
    </r>
    <r>
      <rPr>
        <sz val="9"/>
        <rFont val="돋움"/>
        <family val="3"/>
      </rPr>
      <t>-직원 6명        294,000*12월=    3,528,000</t>
    </r>
  </si>
  <si>
    <r>
      <t xml:space="preserve"> *교통급식비    ( 계 19,404,000 )</t>
    </r>
    <r>
      <rPr>
        <b/>
        <u val="single"/>
        <sz val="11"/>
        <rFont val="돋움"/>
        <family val="3"/>
      </rPr>
      <t xml:space="preserve">
</t>
    </r>
    <r>
      <rPr>
        <sz val="9"/>
        <rFont val="돋움"/>
        <family val="3"/>
      </rPr>
      <t>-원장 외 13명  1,617,000*12월 = 19,404,000</t>
    </r>
  </si>
  <si>
    <r>
      <t xml:space="preserve"> </t>
    </r>
    <r>
      <rPr>
        <b/>
        <sz val="11"/>
        <rFont val="돋움"/>
        <family val="3"/>
      </rPr>
      <t>*특수근무수당      ( 계 7,836,000 )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-직원 12명  653,000*12월=    7,836,000</t>
    </r>
  </si>
  <si>
    <r>
      <t>*복지수당      ( 계 29,610,000 )</t>
    </r>
    <r>
      <rPr>
        <b/>
        <u val="single"/>
        <sz val="11"/>
        <rFont val="돋움"/>
        <family val="3"/>
      </rPr>
      <t xml:space="preserve">
</t>
    </r>
    <r>
      <rPr>
        <sz val="9"/>
        <rFont val="돋움"/>
        <family val="3"/>
      </rPr>
      <t>-원장 외 13명    2,467,500*12월=   29,610,000</t>
    </r>
  </si>
  <si>
    <r>
      <t xml:space="preserve"> </t>
    </r>
    <r>
      <rPr>
        <b/>
        <sz val="11"/>
        <rFont val="돋움"/>
        <family val="3"/>
      </rPr>
      <t xml:space="preserve">*시간외수당 </t>
    </r>
    <r>
      <rPr>
        <b/>
        <sz val="11"/>
        <color indexed="10"/>
        <rFont val="돋움"/>
        <family val="3"/>
      </rPr>
      <t xml:space="preserve"> </t>
    </r>
    <r>
      <rPr>
        <b/>
        <sz val="11"/>
        <rFont val="돋움"/>
        <family val="3"/>
      </rPr>
      <t xml:space="preserve">      ( 계 16,158,560 )
 </t>
    </r>
    <r>
      <rPr>
        <sz val="9"/>
        <rFont val="돋움"/>
        <family val="3"/>
      </rPr>
      <t>(기본급+가계보조수당+특수근무수당)/226
  *1.5*시간
직원 13명        1,346,547*12월=  16,158,560</t>
    </r>
  </si>
  <si>
    <r>
      <t xml:space="preserve"> *퇴직적립금     ( 계  32,447,990)</t>
    </r>
    <r>
      <rPr>
        <b/>
        <u val="single"/>
        <sz val="11"/>
        <rFont val="돋움"/>
        <family val="3"/>
      </rPr>
      <t xml:space="preserve">
</t>
    </r>
    <r>
      <rPr>
        <sz val="10"/>
        <rFont val="돋움"/>
        <family val="3"/>
      </rPr>
      <t>-</t>
    </r>
    <r>
      <rPr>
        <sz val="9"/>
        <rFont val="돋움"/>
        <family val="3"/>
      </rPr>
      <t>총급여액(14명) 389,376,550/12월 = 32,447,990</t>
    </r>
  </si>
  <si>
    <r>
      <rPr>
        <b/>
        <sz val="11"/>
        <rFont val="돋움"/>
        <family val="3"/>
      </rPr>
      <t>*정근수당          ( 계 25,584,570 )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 xml:space="preserve">-원장 외 13명        12,792,285*2월=  25,584,570
</t>
    </r>
  </si>
  <si>
    <r>
      <rPr>
        <b/>
        <sz val="11"/>
        <rFont val="돋움"/>
        <family val="3"/>
      </rPr>
      <t>*장기근속수당     ( 계 5,292,000 )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-원장 외 10명    441,000*12월=     5,292,000</t>
    </r>
  </si>
  <si>
    <r>
      <t xml:space="preserve">*법인전입금         ( 계 4,250,000 )
</t>
    </r>
    <r>
      <rPr>
        <sz val="9"/>
        <rFont val="돋움"/>
        <family val="3"/>
      </rPr>
      <t>-생신비 =   2,250,000
-시설비 =   2,000,000</t>
    </r>
  </si>
  <si>
    <r>
      <t xml:space="preserve">*이월금        ( 계 1,618,900 )
</t>
    </r>
    <r>
      <rPr>
        <sz val="9"/>
        <rFont val="돋움"/>
        <family val="3"/>
      </rPr>
      <t>-기타잡수입= 1,618,900</t>
    </r>
  </si>
  <si>
    <r>
      <t>*이월금        ( 계 21,090,890</t>
    </r>
    <r>
      <rPr>
        <b/>
        <sz val="10"/>
        <rFont val="돋움"/>
        <family val="3"/>
      </rPr>
      <t xml:space="preserve"> )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-2012년 후원금  이월금= 21,090,890</t>
    </r>
  </si>
  <si>
    <r>
      <t xml:space="preserve">*시설장비유지비    ( 계 5,840,000 )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 xml:space="preserve">-엘리베이트월정보수료 </t>
    </r>
    <r>
      <rPr>
        <sz val="8"/>
        <rFont val="돋움"/>
        <family val="3"/>
      </rPr>
      <t>75,000*12월 =</t>
    </r>
    <r>
      <rPr>
        <sz val="9"/>
        <rFont val="돋움"/>
        <family val="3"/>
      </rPr>
      <t xml:space="preserve"> 900,000
-평화전기월정보수료    70,000*12월= 840,000
-비품수선비 =                                1,100,000
-기타유지비 =                                3,000,000</t>
    </r>
  </si>
  <si>
    <r>
      <rPr>
        <b/>
        <sz val="11"/>
        <rFont val="돋움"/>
        <family val="3"/>
      </rPr>
      <t>*생계비      ( 계148,121,830)</t>
    </r>
    <r>
      <rPr>
        <b/>
        <sz val="12"/>
        <rFont val="돋움"/>
        <family val="3"/>
      </rPr>
      <t xml:space="preserve">
</t>
    </r>
    <r>
      <rPr>
        <sz val="9"/>
        <rFont val="돋움"/>
        <family val="3"/>
      </rPr>
      <t>-주.부식비 및 피복비
(1~6월)  67명*154,082*6 =       61,940,964
(7~12월) 67명*189,853*6 =      76,320,906
-월동대책비  26,648*66명 =       1,758,770
-장의비        6구*750,000 =       4,500,000
-특별위로금  27,490*67*1회 =    1,841,830
-특별위로금  27,490*64*1회 =    1,759,360</t>
    </r>
  </si>
  <si>
    <r>
      <t xml:space="preserve">*장의비            ( 계4,500,000 )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-장의비        6구*750,000 =  4,500,000</t>
    </r>
  </si>
  <si>
    <r>
      <t>*생계비    (계 128,035,070 )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-주.부식비
(1~6월)  67명*138,670*6 =      55,745,340
(7~12월) 67명*170,867*6 =     68,688,540
-특별위로금  27,490*67*1회 =    1,841,830
-특별위로금  27,490*64*1회 =    1,759,360</t>
    </r>
  </si>
  <si>
    <r>
      <t xml:space="preserve">*피복비  ( 계 13,827,990)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 xml:space="preserve">-일반피복비
(1~6월)  67명*15,412*6 =     6,195,620
(7~12월) 67명*18,986*6 =    7,632,370
</t>
    </r>
  </si>
  <si>
    <r>
      <t xml:space="preserve">*연료비            ( 계 29,320,000)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-난방연료비 1,660,000*12월=19,920,000
-취사연료비   700,000*12월= 8,400,000
-기타연료비  =1,000,000</t>
    </r>
  </si>
  <si>
    <r>
      <t xml:space="preserve">
*시설비             ( 계 3,000,000 )
</t>
    </r>
    <r>
      <rPr>
        <sz val="9"/>
        <rFont val="돋움"/>
        <family val="3"/>
      </rPr>
      <t xml:space="preserve">-기타시설비 =                           3,000,000
  </t>
    </r>
  </si>
  <si>
    <r>
      <t xml:space="preserve">
*차량비                (계 7,340,000 )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 xml:space="preserve">-차량유류대 2,420,000*2대 =   4,840,000
-차량정비유지비               =   2,500,000
          </t>
    </r>
  </si>
  <si>
    <t>사업비</t>
  </si>
  <si>
    <r>
      <t xml:space="preserve">*개인결연금         ( 계  855,500 )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-한노협개인결연금  = 515,500
-후원자개인결연금  = 340,000</t>
    </r>
  </si>
  <si>
    <t>시.군.구
보조금</t>
  </si>
  <si>
    <r>
      <t xml:space="preserve">*기타잡수입      ( 계 10,157,500 )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-직원식대비  14명*30,000*12월= 5,040,000               
-실습생실습비  70,000*13명 =       910,000
-실습생식대비  37,500*13명=        487,500
-자판기수입금 150,000*12월=     1,800,000
-공중전화수익금  10,000*12월=      120,000
-기타잡수입=                             1,800,000</t>
    </r>
  </si>
  <si>
    <r>
      <t xml:space="preserve">
*잡지출               ( 계 3,600,000)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-자판기재료구입비 150,000*12월=1,800,000          
-기타 잡지출                          =  1,800,000</t>
    </r>
  </si>
  <si>
    <t>2014년도  예산 종사자 보수 일람표</t>
  </si>
  <si>
    <r>
      <t xml:space="preserve">*자산취득비        ( 계 5,000,000 )
</t>
    </r>
    <r>
      <rPr>
        <sz val="9"/>
        <rFont val="돋움"/>
        <family val="3"/>
      </rPr>
      <t xml:space="preserve">
-기 타 (비품구입비) =                   5,000,000</t>
    </r>
  </si>
  <si>
    <r>
      <t xml:space="preserve"> </t>
    </r>
    <r>
      <rPr>
        <b/>
        <sz val="11"/>
        <rFont val="돋움"/>
        <family val="3"/>
      </rPr>
      <t xml:space="preserve">*공공요금          ( 계 23,400,000 )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-전화요금          110,000*12월 =   1,320,000
-전기요금        1,200,000*12월 = 14,400,000
-상하수도요금     650,000*6회  =   3,900,000
-우편요금                              =     700,000
-음식물쓰레기처리수수료 
                            90,000*12월 = 1,080,000
-기타 =                                      2,000,000</t>
    </r>
  </si>
  <si>
    <r>
      <t xml:space="preserve">*제세공과금          ( 계 7,820,000 )
</t>
    </r>
    <r>
      <rPr>
        <sz val="9"/>
        <rFont val="돋움"/>
        <family val="3"/>
      </rPr>
      <t xml:space="preserve">-자동차세 2대 =                               420,000
-자동차보험료 2대 =                       1,400,000
-일반화재보험료 =                            200,000
-영업배상책임보험료 =                      500,000
-가스사고배상책임보험료 =                 50,000
-차량정기검사비 2대 =                      200,000
-시설환경개선부담금  =                     750,000
-차량환경개선부담금  =                     250,000
-한국노인복지시설협회 </t>
    </r>
    <r>
      <rPr>
        <sz val="8"/>
        <rFont val="돋움"/>
        <family val="3"/>
      </rPr>
      <t xml:space="preserve">220,000*4월=    </t>
    </r>
    <r>
      <rPr>
        <sz val="9"/>
        <rFont val="돋움"/>
        <family val="3"/>
      </rPr>
      <t>880,000
-부산노인시설협회</t>
    </r>
    <r>
      <rPr>
        <sz val="8"/>
        <rFont val="돋움"/>
        <family val="3"/>
      </rPr>
      <t xml:space="preserve">110,000*12월 =     </t>
    </r>
    <r>
      <rPr>
        <sz val="9"/>
        <rFont val="돋움"/>
        <family val="3"/>
      </rPr>
      <t xml:space="preserve"> 1,320,000
-부산사회복지협의회 </t>
    </r>
    <r>
      <rPr>
        <sz val="8"/>
        <rFont val="돋움"/>
        <family val="3"/>
      </rPr>
      <t>80,000*4월=</t>
    </r>
    <r>
      <rPr>
        <sz val="9"/>
        <rFont val="돋움"/>
        <family val="3"/>
      </rPr>
      <t xml:space="preserve">        320,000
-한국소방안전협회 =                         110,000
-푸드뱅크협회비 10,000*12월 =           120,000
-가스안전 검사수수료=                        50,000                           
-기타=                                           1.250,000</t>
    </r>
  </si>
  <si>
    <r>
      <rPr>
        <b/>
        <sz val="11"/>
        <rFont val="돋움"/>
        <family val="3"/>
      </rPr>
      <t xml:space="preserve"> *수용비및수수료  ( 계 18,283,830 )</t>
    </r>
    <r>
      <rPr>
        <b/>
        <sz val="10"/>
        <rFont val="돋움"/>
        <family val="3"/>
      </rPr>
      <t xml:space="preserve">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-사무용품비 =                               1,000,000
-집기구입및소규모수선비 =             8,000,000
-인쇄비 =                                     1,000,000
-정화조청소비 =                               300,000
-시설홈페이지관리비  32,000원*12월=  384,000
-차량주차비및통행료 =                      100,000
-사진현상및필름구입비 =                    50,000
-정수기관리비 50,000원*12월 =          600,000
-케이블TV시청료 160,000원*12월=   1,920,000
-수질검사료  =                                         0
-조리용소모품구입비 =                   1,300,000
-물탱크청소비 =                               100,000
-복사기관리비 99,000*10월=               990,000
-기  타  =                                      2,539,830</t>
    </r>
  </si>
  <si>
    <r>
      <t xml:space="preserve"> *가계보조수당    ( 계 9,240,000 )</t>
    </r>
    <r>
      <rPr>
        <sz val="9"/>
        <rFont val="돋움"/>
        <family val="3"/>
      </rPr>
      <t xml:space="preserve">
-원장 외 13명*12월= 9,240,000</t>
    </r>
  </si>
  <si>
    <r>
      <t xml:space="preserve"> 
</t>
    </r>
    <r>
      <rPr>
        <b/>
        <sz val="11"/>
        <rFont val="돋움"/>
        <family val="3"/>
      </rPr>
      <t>*기타후생경비       ( 계1,000,000 )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 xml:space="preserve">
</t>
    </r>
    <r>
      <rPr>
        <sz val="10"/>
        <rFont val="돋움"/>
        <family val="3"/>
      </rPr>
      <t xml:space="preserve">
</t>
    </r>
  </si>
  <si>
    <r>
      <t>*비지정후원금    ( 계 8,000,000 )</t>
    </r>
    <r>
      <rPr>
        <b/>
        <sz val="12"/>
        <rFont val="돋움"/>
        <family val="3"/>
      </rPr>
      <t xml:space="preserve">
</t>
    </r>
    <r>
      <rPr>
        <sz val="9"/>
        <rFont val="돋움"/>
        <family val="3"/>
      </rPr>
      <t xml:space="preserve">-민간단체후원금,지역사회후원 =     8,000,000                                          
</t>
    </r>
  </si>
  <si>
    <r>
      <t xml:space="preserve">*기타예금이자수입 ( 계 40,000 )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 xml:space="preserve">-국고예금이자수입 =                     20,000
-후원및각종통장예금이자수입 =      20,000 </t>
    </r>
    <r>
      <rPr>
        <sz val="10"/>
        <rFont val="돋움"/>
        <family val="3"/>
      </rPr>
      <t xml:space="preserve">                                     </t>
    </r>
  </si>
  <si>
    <r>
      <t xml:space="preserve"> 
</t>
    </r>
    <r>
      <rPr>
        <b/>
        <sz val="11"/>
        <rFont val="돋움"/>
        <family val="3"/>
      </rPr>
      <t>*기타후생경비       ( 계1,000,000 )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 xml:space="preserve">
</t>
    </r>
    <r>
      <rPr>
        <sz val="10"/>
        <rFont val="돋움"/>
        <family val="3"/>
      </rPr>
      <t xml:space="preserve">
</t>
    </r>
  </si>
  <si>
    <r>
      <t xml:space="preserve">*수용기관경비    ( 계 2,043,750)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-수용비           75명*27,250 =  2,043,750</t>
    </r>
  </si>
  <si>
    <r>
      <t xml:space="preserve">
*의료비           ( 계 960,000)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-의료용품비  80,000*12월=  960,000</t>
    </r>
  </si>
  <si>
    <r>
      <t xml:space="preserve">*장의비            ( 계 7,500,000 )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-장의비        10구*750,000 =  7,500,000</t>
    </r>
  </si>
  <si>
    <t>2013년도 세입.세출  2차 추가경정 예산</t>
  </si>
  <si>
    <t xml:space="preserve">2013년
1차추경
예산(A)
</t>
  </si>
  <si>
    <t xml:space="preserve">2013년
2차추경
예산(B)
 </t>
  </si>
  <si>
    <t>2013년도 세입.세출  2차추가경정 예산서</t>
  </si>
  <si>
    <r>
      <t xml:space="preserve">*지정후원금      ( 계  50,260,460 )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 xml:space="preserve">-민간단체후원금,지역사회후원,개인결연금 =                                                  50,260,460
</t>
    </r>
  </si>
  <si>
    <r>
      <t>*비지정후원금    ( 계 6,921,250 )</t>
    </r>
    <r>
      <rPr>
        <b/>
        <sz val="12"/>
        <rFont val="돋움"/>
        <family val="3"/>
      </rPr>
      <t xml:space="preserve">
</t>
    </r>
    <r>
      <rPr>
        <sz val="9"/>
        <rFont val="돋움"/>
        <family val="3"/>
      </rPr>
      <t xml:space="preserve">-민간단체후원금,지역사회후원 =    6,921,250                                          
</t>
    </r>
  </si>
  <si>
    <t>2013년도 세입 . 세출  2차추가경정 예산서</t>
  </si>
  <si>
    <t>2013년도
1차추경
예산(A)</t>
  </si>
  <si>
    <t>2013년도
2차추경
예산(B)</t>
  </si>
  <si>
    <r>
      <t xml:space="preserve">*기타예금이자수입     ( 계 49,810 )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-국고예금이자수입 =                     23,850
-후원및각종통장예금이자수입 =      25,960</t>
    </r>
    <r>
      <rPr>
        <sz val="10"/>
        <rFont val="돋움"/>
        <family val="3"/>
      </rPr>
      <t xml:space="preserve">                                    </t>
    </r>
  </si>
  <si>
    <r>
      <t xml:space="preserve">*반환금                (계     23,850)
</t>
    </r>
    <r>
      <rPr>
        <sz val="9"/>
        <rFont val="돋움"/>
        <family val="3"/>
      </rPr>
      <t>-정부 보조금 반환금     23,850</t>
    </r>
  </si>
  <si>
    <r>
      <t xml:space="preserve">*예비비                (계 7,925,000)
</t>
    </r>
    <r>
      <rPr>
        <sz val="9"/>
        <rFont val="돋움"/>
        <family val="3"/>
      </rPr>
      <t>-총예산  792,494,780*1% =7,925,000</t>
    </r>
  </si>
  <si>
    <t>1. 세입: 792,494,780</t>
  </si>
  <si>
    <t>2. 세출: 792,494,780</t>
  </si>
  <si>
    <t>1. 세입: 792,494,780</t>
  </si>
  <si>
    <t xml:space="preserve">
제1조  2013년도 2차 추가경정예산 내역은 
         세입예산    792,494,780원    세출예산    792,494,780원                                    ( 단위 : 천원 )                                                                                                                   </t>
  </si>
  <si>
    <r>
      <t xml:space="preserve">*프로그램운영비    (계  13,057,450)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 xml:space="preserve">-웃음치료 프로그램   100,000*12회= 1,200,000
-나도요리사 프로그램30,000*12회=   360,000
-봄,여름,가을야유     500,000*3회=  1,500,000
-황전가족행복찾기                  =   2,200,000
-개원기념일          3,500,000*1회=  3,500,000 
-거주자생신축하금  75명*30,000=    2,250,000
-특별위로금 1,140,000*1회=1,140,000                      
-기타프로그램사업비 =             907,450
</t>
    </r>
    <r>
      <rPr>
        <b/>
        <sz val="11"/>
        <rFont val="돋움"/>
        <family val="3"/>
      </rPr>
      <t>*공동모금회 사업비 (계 20,000,000)</t>
    </r>
    <r>
      <rPr>
        <sz val="9"/>
        <rFont val="돋움"/>
        <family val="3"/>
      </rPr>
      <t xml:space="preserve">
-건강증진을 위한 운동프로그램 및 
환경개선 프로그램=  20,000,000
*</t>
    </r>
    <r>
      <rPr>
        <b/>
        <sz val="11"/>
        <rFont val="돋움"/>
        <family val="3"/>
      </rPr>
      <t xml:space="preserve">한국노인복지중앙회(계 11,145,450)
</t>
    </r>
    <r>
      <rPr>
        <sz val="9"/>
        <rFont val="돋움"/>
        <family val="3"/>
      </rPr>
      <t>-어르신 겨울나기 프로그램 = 11,145,450</t>
    </r>
  </si>
  <si>
    <r>
      <t xml:space="preserve"> </t>
    </r>
    <r>
      <rPr>
        <b/>
        <sz val="11"/>
        <rFont val="돋움"/>
        <family val="3"/>
      </rPr>
      <t>*여비                ( 계 5,200,000)</t>
    </r>
    <r>
      <rPr>
        <b/>
        <sz val="12"/>
        <rFont val="돋움"/>
        <family val="3"/>
      </rPr>
      <t xml:space="preserve">
</t>
    </r>
    <r>
      <rPr>
        <sz val="9"/>
        <rFont val="돋움"/>
        <family val="3"/>
      </rPr>
      <t>-직원교육 참석여비  14명= 5,200,000</t>
    </r>
  </si>
  <si>
    <t>*기타운영비           (계 3,100,000 )</t>
  </si>
  <si>
    <t>2014년도 세입.세출  2차 추가경정 예산서</t>
  </si>
  <si>
    <t>2014년도 세입 . 세출  2차 추가경정 예산서</t>
  </si>
  <si>
    <t>2014년도 세입.세출  2차 추가경정 예산</t>
  </si>
  <si>
    <t>2014년
1차추경
예산
(A)</t>
  </si>
  <si>
    <t>2014년
2차추경
예산
 (B)</t>
  </si>
  <si>
    <t>2014년
2차추경
예산
 (B)</t>
  </si>
  <si>
    <t>2014년
1차추경
예산(A)</t>
  </si>
  <si>
    <t>2014년
2차추경
예산 (B)</t>
  </si>
  <si>
    <t>2014년
2차추경
예산(B)</t>
  </si>
  <si>
    <r>
      <t xml:space="preserve">  *기본급여  ( 계 194,484,000)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-원장 외 13명*12월=  194,484,000</t>
    </r>
  </si>
  <si>
    <r>
      <t>*기말수당     ( 계  32,404,660 )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-원장 외 13명*4월=  32,404,660</t>
    </r>
  </si>
  <si>
    <r>
      <t>*가계지원비   ( 계  32,404,660  )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-원장 외 13명*4월=  32,404,660</t>
    </r>
  </si>
  <si>
    <r>
      <rPr>
        <b/>
        <sz val="11"/>
        <rFont val="돋움"/>
        <family val="3"/>
      </rPr>
      <t>*장기근속수당     ( 계 5,400,000 )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-원장 외 10명*12월=  5,400,000</t>
    </r>
  </si>
  <si>
    <r>
      <t xml:space="preserve"> *명절휴가비      ( 계 16,432,050)</t>
    </r>
    <r>
      <rPr>
        <b/>
        <u val="single"/>
        <sz val="11"/>
        <rFont val="돋움"/>
        <family val="3"/>
      </rPr>
      <t xml:space="preserve">
</t>
    </r>
    <r>
      <rPr>
        <sz val="9"/>
        <rFont val="돋움"/>
        <family val="3"/>
      </rPr>
      <t>-원장 외 13명*2월=  16,432,050</t>
    </r>
  </si>
  <si>
    <r>
      <t xml:space="preserve"> *교통급식비     ( 계 18,480,000 )</t>
    </r>
    <r>
      <rPr>
        <b/>
        <u val="single"/>
        <sz val="11"/>
        <rFont val="돋움"/>
        <family val="3"/>
      </rPr>
      <t xml:space="preserve">
</t>
    </r>
    <r>
      <rPr>
        <sz val="9"/>
        <rFont val="돋움"/>
        <family val="3"/>
      </rPr>
      <t>-원장 외 13명*12월 = 18,480,000</t>
    </r>
  </si>
  <si>
    <r>
      <t>*복지수당         ( 계 29,400,000 )</t>
    </r>
    <r>
      <rPr>
        <b/>
        <u val="single"/>
        <sz val="11"/>
        <rFont val="돋움"/>
        <family val="3"/>
      </rPr>
      <t xml:space="preserve">
</t>
    </r>
    <r>
      <rPr>
        <sz val="9"/>
        <rFont val="돋움"/>
        <family val="3"/>
      </rPr>
      <t>-원장 외 13명*12월=   29,400,000</t>
    </r>
  </si>
  <si>
    <r>
      <t xml:space="preserve"> </t>
    </r>
    <r>
      <rPr>
        <b/>
        <sz val="11"/>
        <rFont val="돋움"/>
        <family val="3"/>
      </rPr>
      <t>*특수근무수당     ( 계 7,680,000)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-직원 12명*12월=   7,680,000</t>
    </r>
  </si>
  <si>
    <r>
      <t xml:space="preserve"> *가족수당         ( 계 4,560,000)</t>
    </r>
    <r>
      <rPr>
        <b/>
        <u val="single"/>
        <sz val="11"/>
        <rFont val="돋움"/>
        <family val="3"/>
      </rPr>
      <t xml:space="preserve">
</t>
    </r>
    <r>
      <rPr>
        <sz val="9"/>
        <rFont val="돋움"/>
        <family val="3"/>
      </rPr>
      <t>-직원 9명*12월=4,560,000</t>
    </r>
  </si>
  <si>
    <r>
      <rPr>
        <b/>
        <sz val="11"/>
        <rFont val="돋움"/>
        <family val="3"/>
      </rPr>
      <t>*정근수당       ( 계 25,845,200)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-원장 외 13명*2월= 25,845,200</t>
    </r>
  </si>
  <si>
    <r>
      <t xml:space="preserve"> </t>
    </r>
    <r>
      <rPr>
        <b/>
        <sz val="10"/>
        <rFont val="돋움"/>
        <family val="3"/>
      </rPr>
      <t>*</t>
    </r>
    <r>
      <rPr>
        <b/>
        <sz val="11"/>
        <rFont val="돋움"/>
        <family val="3"/>
      </rPr>
      <t xml:space="preserve">사회보험부담비용 ( 계 37,525,130)
</t>
    </r>
    <r>
      <rPr>
        <sz val="9"/>
        <rFont val="돋움"/>
        <family val="3"/>
      </rPr>
      <t xml:space="preserve">-국민건강보험 </t>
    </r>
    <r>
      <rPr>
        <sz val="8"/>
        <rFont val="돋움"/>
        <family val="3"/>
      </rPr>
      <t xml:space="preserve">급여총액*2,995%= 11,992,980
-장기요양보험  건강보험료*6.55%=    785,480
</t>
    </r>
    <r>
      <rPr>
        <sz val="9"/>
        <rFont val="돋움"/>
        <family val="3"/>
      </rPr>
      <t xml:space="preserve">-국민연금보험 </t>
    </r>
    <r>
      <rPr>
        <sz val="8"/>
        <rFont val="돋움"/>
        <family val="3"/>
      </rPr>
      <t>급여총액</t>
    </r>
    <r>
      <rPr>
        <sz val="9"/>
        <rFont val="돋움"/>
        <family val="3"/>
      </rPr>
      <t xml:space="preserve">*4.5% =  </t>
    </r>
    <r>
      <rPr>
        <sz val="8"/>
        <rFont val="돋움"/>
        <family val="3"/>
      </rPr>
      <t>18,019,510</t>
    </r>
    <r>
      <rPr>
        <sz val="9"/>
        <rFont val="돋움"/>
        <family val="3"/>
      </rPr>
      <t xml:space="preserve">
-고용보험       </t>
    </r>
    <r>
      <rPr>
        <sz val="8"/>
        <rFont val="돋움"/>
        <family val="3"/>
      </rPr>
      <t>급여총액</t>
    </r>
    <r>
      <rPr>
        <sz val="9"/>
        <rFont val="돋움"/>
        <family val="3"/>
      </rPr>
      <t xml:space="preserve">*0.7% =   3,603,850
-산재보험       </t>
    </r>
    <r>
      <rPr>
        <sz val="8"/>
        <rFont val="돋움"/>
        <family val="3"/>
      </rPr>
      <t>급여총액</t>
    </r>
    <r>
      <rPr>
        <sz val="9"/>
        <rFont val="돋움"/>
        <family val="3"/>
      </rPr>
      <t>*0.78 =    3,123,310</t>
    </r>
  </si>
  <si>
    <r>
      <t xml:space="preserve"> </t>
    </r>
    <r>
      <rPr>
        <b/>
        <sz val="11"/>
        <rFont val="돋움"/>
        <family val="3"/>
      </rPr>
      <t xml:space="preserve">*공공요금          ( 계 23,000,000 )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-전화요금          100,000*12월 =   1,200,000
-전기요금        1,200,000*12월 = 14,400,000
-상하수도요금    783,560*6회  =   4,701,360
-우편요금                              =     700,000
-음식물쓰레기처리수수료 
                            70,000*12월 = 840,000
-기타 =                                      1,158,640</t>
    </r>
  </si>
  <si>
    <r>
      <t xml:space="preserve">
*시설비             ( 계 5,000,000 )
</t>
    </r>
    <r>
      <rPr>
        <sz val="9"/>
        <rFont val="돋움"/>
        <family val="3"/>
      </rPr>
      <t xml:space="preserve">-기타시설비 =                           5,000,000
  </t>
    </r>
  </si>
  <si>
    <r>
      <t xml:space="preserve">*생계비           ( 계158,983,580 )
</t>
    </r>
    <r>
      <rPr>
        <sz val="9"/>
        <rFont val="돋움"/>
        <family val="3"/>
      </rPr>
      <t>-주.부식비70명*182,090*12 = 152,955,600
-월동대책비  28,114*70명 =      1,967,980
-특별위로금 29,000*70*2회 =    4,060,000</t>
    </r>
  </si>
  <si>
    <r>
      <t xml:space="preserve">*피복비           ( 계 15,293,040)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 xml:space="preserve">-일반피복비  70명*18,206*12 =  15,293,040
</t>
    </r>
  </si>
  <si>
    <r>
      <t xml:space="preserve">*특별급식비      ( 계 17,757,250)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-간식비       70명*695*365일 = 17,757,250</t>
    </r>
  </si>
  <si>
    <r>
      <t xml:space="preserve">
*잡지출               ( 계 3,600,000)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-자판기재료구입비 170,000*12월=2,040,000        
-기타 잡지출                          =  1,560,000</t>
    </r>
  </si>
  <si>
    <r>
      <t xml:space="preserve">*반환금                (계    270,000)
</t>
    </r>
    <r>
      <rPr>
        <sz val="9"/>
        <rFont val="돋움"/>
        <family val="3"/>
      </rPr>
      <t>-정부 보조금 반환금       270,000</t>
    </r>
  </si>
  <si>
    <r>
      <t xml:space="preserve">*법인전입금         ( 계 8,436,000 )
</t>
    </r>
    <r>
      <rPr>
        <sz val="9"/>
        <rFont val="돋움"/>
        <family val="3"/>
      </rPr>
      <t>-생신비 =   2,040,000
-시설비 =   6,396,000</t>
    </r>
  </si>
  <si>
    <r>
      <t xml:space="preserve">*기타잡수입      ( 계 11,567,500 )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-직원식대비  14명*40,000*12월= 6,720,000              
-실습생실습비  70,000*13명 =       910,000
-실습생식대비  37,500*13명=        487,500
-자판기수입금 190,000*12월=     2,280,000
-공중전화수익금  10,000*12월=      120,000
-기타잡수입=                            1,050,000</t>
    </r>
  </si>
  <si>
    <r>
      <t xml:space="preserve">*시설장비유지비    ( 계 6,571,000)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 xml:space="preserve">-엘리베이트월정보수료  </t>
    </r>
    <r>
      <rPr>
        <sz val="8"/>
        <rFont val="돋움"/>
        <family val="3"/>
      </rPr>
      <t>70,000*12월 =</t>
    </r>
    <r>
      <rPr>
        <sz val="9"/>
        <rFont val="돋움"/>
        <family val="3"/>
      </rPr>
      <t xml:space="preserve"> 840,000
-평화전기월정보수료     66,000*12월= 792,000
-에이스방재 월정보수료 110,000*12월= 1,320,000
-엘리베이트 비상통화장치등 =3,619,000</t>
    </r>
  </si>
  <si>
    <r>
      <t xml:space="preserve"> </t>
    </r>
    <r>
      <rPr>
        <b/>
        <sz val="11"/>
        <rFont val="돋움"/>
        <family val="3"/>
      </rPr>
      <t>*여비                ( 계 1,820,000)</t>
    </r>
    <r>
      <rPr>
        <b/>
        <sz val="12"/>
        <rFont val="돋움"/>
        <family val="3"/>
      </rPr>
      <t xml:space="preserve">
</t>
    </r>
    <r>
      <rPr>
        <sz val="9"/>
        <rFont val="돋움"/>
        <family val="3"/>
      </rPr>
      <t>-직원교육 참석여비  130,000*14명=1,820,000</t>
    </r>
  </si>
  <si>
    <t>*기타운영비         (계 2,100,000 )</t>
  </si>
  <si>
    <r>
      <rPr>
        <b/>
        <sz val="11"/>
        <rFont val="돋움"/>
        <family val="3"/>
      </rPr>
      <t>*생계비      ( 계181,776,620)</t>
    </r>
    <r>
      <rPr>
        <b/>
        <sz val="12"/>
        <rFont val="돋움"/>
        <family val="3"/>
      </rPr>
      <t xml:space="preserve">
</t>
    </r>
    <r>
      <rPr>
        <sz val="9"/>
        <rFont val="돋움"/>
        <family val="3"/>
      </rPr>
      <t>-주.부식비 및 피복비 70명*200,296*12 =168,248,640
-월동대책비  28,114*70명 =     1,967,980
-장의비        10구*750,000 =     7,500,000
-특별위로금 29,000*70*2회 =     4,060,000</t>
    </r>
  </si>
  <si>
    <r>
      <rPr>
        <b/>
        <sz val="11"/>
        <rFont val="돋움"/>
        <family val="3"/>
      </rPr>
      <t xml:space="preserve"> *수용비및수수료  ( 계 17,941,440)</t>
    </r>
    <r>
      <rPr>
        <b/>
        <sz val="10"/>
        <rFont val="돋움"/>
        <family val="3"/>
      </rPr>
      <t xml:space="preserve">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-사무용품비 =                               1,000,000
-집기구입및소규모수선비 =             7,000,000
-인쇄비 =                                     1,500,000
-정화조청소비 =                               300,000
-시설홈페이지관리비  32,000원*12월=  384,000
-차량주차비및통행료 =                       10,000
-사진현상및필름구입비 =                          0
-정수기관리비 80,000원*12월 =       960,000
-케이블TV시청료 160,000원*12월=   1,920,000
-수질검사료  =                                         0
-조리용소모품구입비 =                  2,000,000
-물탱크청소비 =                               100,000
-복사기관리비 99,000*12월=             1,188,000
-기  타  =                                    1,579,440</t>
    </r>
  </si>
  <si>
    <r>
      <rPr>
        <b/>
        <sz val="11"/>
        <rFont val="돋움"/>
        <family val="3"/>
      </rPr>
      <t xml:space="preserve">*인건비      ( 계 471,329,940)
</t>
    </r>
    <r>
      <rPr>
        <sz val="9"/>
        <rFont val="돋움"/>
        <family val="3"/>
      </rPr>
      <t xml:space="preserve">
-기본급             14명*12월 =  194,484,000
-복지수당          14명*12월 =    29,400,000
-기말수당          14명*4월  =    32,404,660
-가계지원비       14명*4월  =    32,404,660
-장기근속수당    11명*12월 =     5,400,000
-정근수당          14명*2월  =    25,845,200
-가계보조수당    14명*12월 =     9,240,000
-명절휴가비       14명*2월  =    16,432,050
-교통급식비       14명*12월 =   18,480,000
-시간외수당       13명*12월 =    24,104,680
-특수근무수당    12명*12월 =     7,680,000
-가족수당          12명*12월 =     4,560,000
-국민연금보험    14명*12월 =    18,019,510
-국민건강보험    14명*12월 =    11,992,980
-장기요양보험    14명*12월 =        785,480
-고용보험료       14명*12월 =     3,603,850
-산재보험료       14명*12월 =     3,123,310
-퇴직적립금       14명*12월 =    33,369,560
</t>
    </r>
    <r>
      <rPr>
        <b/>
        <sz val="11"/>
        <rFont val="돋움"/>
        <family val="3"/>
      </rPr>
      <t xml:space="preserve">*운영비        ( 계 57,113,200)
</t>
    </r>
    <r>
      <rPr>
        <sz val="9"/>
        <rFont val="돋움"/>
        <family val="3"/>
      </rPr>
      <t xml:space="preserve">
-시설운영비  70명*758,760원 = 53,113,200
-난방연료비 =4,000,000
</t>
    </r>
    <r>
      <rPr>
        <b/>
        <sz val="11"/>
        <rFont val="돋움"/>
        <family val="3"/>
      </rPr>
      <t xml:space="preserve">*지방자치보조금 ( 계 32,550,000)  
</t>
    </r>
    <r>
      <rPr>
        <sz val="9"/>
        <rFont val="돋움"/>
        <family val="3"/>
      </rPr>
      <t xml:space="preserve">
-부식비 및 간식비 422,000원 = 28,680,000
-수용경비 난방비   43,000원=    3,870,000
</t>
    </r>
  </si>
  <si>
    <r>
      <t xml:space="preserve">*연료비            ( 계 34,600,000)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-난방연료비 2,100,000*12월=25,200,000
-취사연료비   700,000*12월= 8,400,000
-기타연료비  = 1,000,000</t>
    </r>
  </si>
  <si>
    <r>
      <t xml:space="preserve">*이월금        ( 계 355,890 )
</t>
    </r>
    <r>
      <rPr>
        <sz val="9"/>
        <rFont val="돋움"/>
        <family val="3"/>
      </rPr>
      <t>-2013년 실습생실습비=73,120
-2013년자판기수입=276,726
-2013년후원금통장예금이자=6,044</t>
    </r>
  </si>
  <si>
    <r>
      <t>*이월금        ( 계 15,628,090</t>
    </r>
    <r>
      <rPr>
        <b/>
        <sz val="10"/>
        <rFont val="돋움"/>
        <family val="3"/>
      </rPr>
      <t xml:space="preserve"> )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-2013년 지정후원금  이월금= 4,543,784
-2013년 기타운영비 이월금=4,860
-비지정후원금=9,119,446
-건강증진을위한 운동프로그램=1,960,000</t>
    </r>
  </si>
  <si>
    <r>
      <t xml:space="preserve"> </t>
    </r>
    <r>
      <rPr>
        <b/>
        <sz val="11"/>
        <rFont val="돋움"/>
        <family val="3"/>
      </rPr>
      <t xml:space="preserve">*시간외수당 </t>
    </r>
    <r>
      <rPr>
        <b/>
        <sz val="11"/>
        <color indexed="10"/>
        <rFont val="돋움"/>
        <family val="3"/>
      </rPr>
      <t xml:space="preserve"> </t>
    </r>
    <r>
      <rPr>
        <b/>
        <sz val="11"/>
        <rFont val="돋움"/>
        <family val="3"/>
      </rPr>
      <t xml:space="preserve">    ( 계 24,104,680 )
 </t>
    </r>
    <r>
      <rPr>
        <sz val="9"/>
        <rFont val="돋움"/>
        <family val="3"/>
      </rPr>
      <t>(기본급+가계보조수당+특수근무수당)/226
  *1.5*시간
직원 13명*12월= 24,104,680</t>
    </r>
  </si>
  <si>
    <r>
      <t xml:space="preserve">*제세공과금        ( 계 7,170,000 )
</t>
    </r>
    <r>
      <rPr>
        <sz val="9"/>
        <rFont val="돋움"/>
        <family val="3"/>
      </rPr>
      <t xml:space="preserve">-자동차세 2대 =                               420,000
-자동차보험료 2대 =                       1,500,000
-일반화재보험료 =                            70,000
-영업배상책임보험료 =                      400,000
-가스사고배상책임보험료 =                 50,000
-차량정기검사비 2대 =                      200,000
-시설환경개선부담금  =                     750,000
-차량환경개선부담금  =                     250,000
-한국노인복지시설협회 </t>
    </r>
    <r>
      <rPr>
        <sz val="8"/>
        <rFont val="돋움"/>
        <family val="3"/>
      </rPr>
      <t xml:space="preserve">210,000*4월=    </t>
    </r>
    <r>
      <rPr>
        <sz val="9"/>
        <rFont val="돋움"/>
        <family val="3"/>
      </rPr>
      <t>840,000
-부산노인시설협회</t>
    </r>
    <r>
      <rPr>
        <sz val="8"/>
        <rFont val="돋움"/>
        <family val="3"/>
      </rPr>
      <t xml:space="preserve">100,000*12월 =     </t>
    </r>
    <r>
      <rPr>
        <sz val="9"/>
        <rFont val="돋움"/>
        <family val="3"/>
      </rPr>
      <t xml:space="preserve"> 1,200,000
-부산사회복지협의회 </t>
    </r>
    <r>
      <rPr>
        <sz val="8"/>
        <rFont val="돋움"/>
        <family val="3"/>
      </rPr>
      <t>60,000*4월=</t>
    </r>
    <r>
      <rPr>
        <sz val="9"/>
        <rFont val="돋움"/>
        <family val="3"/>
      </rPr>
      <t xml:space="preserve">        240,000
-한국소방안전협회 =                          50,000     
-가스안전 검사수수료=                        50,000                           
-기타=                                           1.150,000</t>
    </r>
  </si>
  <si>
    <r>
      <t xml:space="preserve"> *퇴직적립금     ( 계  33,369,560)</t>
    </r>
    <r>
      <rPr>
        <b/>
        <u val="single"/>
        <sz val="11"/>
        <rFont val="돋움"/>
        <family val="3"/>
      </rPr>
      <t xml:space="preserve">
</t>
    </r>
    <r>
      <rPr>
        <sz val="10"/>
        <rFont val="돋움"/>
        <family val="3"/>
      </rPr>
      <t>-</t>
    </r>
    <r>
      <rPr>
        <sz val="9"/>
        <rFont val="돋움"/>
        <family val="3"/>
      </rPr>
      <t>총급여액(14명) 400,435,250/12월 = 33,369,560</t>
    </r>
  </si>
  <si>
    <r>
      <t xml:space="preserve">
*차량비             (계 4,000,000 )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>-차량유류대 1,750,000*2대 =   3,500,000
-차량정비유지비               =     250,000
-차량소모품                     =     250,000</t>
    </r>
  </si>
  <si>
    <r>
      <t xml:space="preserve">*지정후원금      ( 계 15,000,000 )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 xml:space="preserve">-민간단체후원금,지역사회후원,개인결연금 =                                                  15,000,000
</t>
    </r>
  </si>
  <si>
    <r>
      <t xml:space="preserve">*예비비              (계 8,017,970)
</t>
    </r>
    <r>
      <rPr>
        <sz val="9"/>
        <rFont val="돋움"/>
        <family val="3"/>
      </rPr>
      <t>-총예산 801,797,240*1% =8,017,970</t>
    </r>
  </si>
  <si>
    <r>
      <t xml:space="preserve">*자산취득비        ( 계 1,500,000 )
</t>
    </r>
    <r>
      <rPr>
        <sz val="9"/>
        <rFont val="돋움"/>
        <family val="3"/>
      </rPr>
      <t xml:space="preserve">
-기 타 (비품구입비) =                   1,500,000</t>
    </r>
  </si>
  <si>
    <r>
      <t xml:space="preserve">*프로그램운영비    (계  9,339,270)
</t>
    </r>
    <r>
      <rPr>
        <sz val="10"/>
        <rFont val="돋움"/>
        <family val="3"/>
      </rPr>
      <t xml:space="preserve">
</t>
    </r>
    <r>
      <rPr>
        <sz val="9"/>
        <rFont val="돋움"/>
        <family val="3"/>
      </rPr>
      <t xml:space="preserve">-웃음치 프로그램   100,000*12회= 1,200,000
-송년회,어버이날,정월대보름,    =    600,000
-나도요리사 프로그램               =    100,000
-봄,여름,가을야유    500,000*3회=  1,500,000
-황전가족행복찾기                   =  1,500,000
-거주자생신축하금  68명*30,000 =  2,040,000                   
-기타프로그램사업비                =     420,000
-건강증진을위한 운동프로그램   =   1,979,270
</t>
    </r>
  </si>
  <si>
    <t xml:space="preserve">
제1조  2014년도 2차 추가경정 예산 내역은 
         세입예산 801,797,240원     세출예산 801,797,240원                                    ( 단위 : 천원 )                                                                                                                   </t>
  </si>
  <si>
    <t>2. 세출: 801,797,240</t>
  </si>
  <si>
    <t>1. 세입: 801,797,240</t>
  </si>
  <si>
    <t>1. 세입:  801,797,240</t>
  </si>
  <si>
    <t>2. 세출:  801,797,240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</si>
</sst>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_-;\-* #,##0.0_-;_-* &quot;-&quot;?_-;_-@_-"/>
    <numFmt numFmtId="178" formatCode="_-* #,##0.000_-;\-* #,##0.000_-;_-* &quot;-&quot;???_-;_-@_-"/>
    <numFmt numFmtId="179" formatCode="#,##0;[Red]#,##0"/>
    <numFmt numFmtId="180" formatCode="_-* #,##0.0_-;\-* #,##0.0_-;_-* &quot;-&quot;??_-;_-@_-"/>
    <numFmt numFmtId="181" formatCode="_-* #,##0_-;\-* #,##0_-;_-* &quot;-&quot;??_-;_-@_-"/>
    <numFmt numFmtId="182" formatCode="#,##0_);[Red]\(#,##0\)"/>
  </numFmts>
  <fonts count="61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sz val="1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sz val="9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b/>
      <u val="single"/>
      <sz val="11"/>
      <name val="돋움"/>
      <family val="3"/>
    </font>
    <font>
      <b/>
      <sz val="9"/>
      <name val="굴림"/>
      <family val="3"/>
    </font>
    <font>
      <sz val="9"/>
      <name val="굴림"/>
      <family val="3"/>
    </font>
    <font>
      <b/>
      <sz val="11"/>
      <color indexed="10"/>
      <name val="돋움"/>
      <family val="3"/>
    </font>
    <font>
      <sz val="14"/>
      <name val="돋움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돋움"/>
      <family val="3"/>
    </font>
    <font>
      <b/>
      <sz val="10"/>
      <color indexed="8"/>
      <name val="돋움"/>
      <family val="3"/>
    </font>
    <font>
      <b/>
      <sz val="14"/>
      <color indexed="10"/>
      <name val="돋움"/>
      <family val="3"/>
    </font>
    <font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  <font>
      <b/>
      <sz val="10"/>
      <color theme="1"/>
      <name val="돋움"/>
      <family val="3"/>
    </font>
    <font>
      <b/>
      <sz val="14"/>
      <color rgb="FFFF0000"/>
      <name val="돋움"/>
      <family val="3"/>
    </font>
    <font>
      <sz val="11"/>
      <color theme="1"/>
      <name val="돋움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0" fillId="0" borderId="10" xfId="0" applyFont="1" applyBorder="1" applyAlignment="1">
      <alignment horizontal="left" vertical="center" wrapText="1"/>
    </xf>
    <xf numFmtId="41" fontId="2" fillId="0" borderId="10" xfId="48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1" fontId="5" fillId="0" borderId="10" xfId="48" applyFont="1" applyBorder="1" applyAlignment="1">
      <alignment horizontal="right" vertical="center"/>
    </xf>
    <xf numFmtId="41" fontId="5" fillId="0" borderId="11" xfId="48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41" fontId="5" fillId="0" borderId="10" xfId="48" applyFont="1" applyBorder="1" applyAlignment="1">
      <alignment/>
    </xf>
    <xf numFmtId="0" fontId="0" fillId="0" borderId="0" xfId="0" applyAlignment="1">
      <alignment vertical="center"/>
    </xf>
    <xf numFmtId="41" fontId="0" fillId="0" borderId="0" xfId="48" applyFont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wrapText="1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1" fontId="2" fillId="0" borderId="12" xfId="48" applyFont="1" applyBorder="1" applyAlignment="1">
      <alignment horizontal="right" vertical="center"/>
    </xf>
    <xf numFmtId="41" fontId="5" fillId="0" borderId="10" xfId="48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41" fontId="5" fillId="0" borderId="10" xfId="48" applyFont="1" applyBorder="1" applyAlignment="1">
      <alignment horizontal="center"/>
    </xf>
    <xf numFmtId="41" fontId="8" fillId="33" borderId="10" xfId="48" applyFont="1" applyFill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wrapText="1"/>
    </xf>
    <xf numFmtId="0" fontId="8" fillId="33" borderId="10" xfId="48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center" wrapText="1"/>
    </xf>
    <xf numFmtId="41" fontId="5" fillId="0" borderId="15" xfId="48" applyFont="1" applyBorder="1" applyAlignment="1">
      <alignment horizontal="right" vertical="center"/>
    </xf>
    <xf numFmtId="41" fontId="5" fillId="0" borderId="16" xfId="48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41" fontId="5" fillId="34" borderId="10" xfId="48" applyFont="1" applyFill="1" applyBorder="1" applyAlignment="1">
      <alignment/>
    </xf>
    <xf numFmtId="41" fontId="5" fillId="34" borderId="10" xfId="48" applyFont="1" applyFill="1" applyBorder="1" applyAlignment="1">
      <alignment horizontal="center"/>
    </xf>
    <xf numFmtId="41" fontId="5" fillId="34" borderId="10" xfId="48" applyFont="1" applyFill="1" applyBorder="1" applyAlignment="1">
      <alignment vertical="center"/>
    </xf>
    <xf numFmtId="0" fontId="0" fillId="34" borderId="0" xfId="0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1" fontId="5" fillId="0" borderId="18" xfId="48" applyFont="1" applyBorder="1" applyAlignment="1">
      <alignment horizontal="right" vertical="center"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 wrapText="1"/>
    </xf>
    <xf numFmtId="41" fontId="5" fillId="0" borderId="20" xfId="48" applyFont="1" applyBorder="1" applyAlignment="1">
      <alignment horizontal="right" vertical="center"/>
    </xf>
    <xf numFmtId="41" fontId="5" fillId="0" borderId="22" xfId="48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1" fontId="8" fillId="0" borderId="25" xfId="48" applyFont="1" applyBorder="1" applyAlignment="1">
      <alignment horizontal="right" vertical="center"/>
    </xf>
    <xf numFmtId="41" fontId="8" fillId="0" borderId="26" xfId="48" applyFont="1" applyBorder="1" applyAlignment="1">
      <alignment horizontal="right" vertical="center"/>
    </xf>
    <xf numFmtId="41" fontId="8" fillId="0" borderId="27" xfId="48" applyFont="1" applyBorder="1" applyAlignment="1">
      <alignment horizontal="right" vertical="center"/>
    </xf>
    <xf numFmtId="0" fontId="17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41" fontId="5" fillId="0" borderId="10" xfId="48" applyFont="1" applyBorder="1" applyAlignment="1">
      <alignment horizontal="center" vertical="center"/>
    </xf>
    <xf numFmtId="41" fontId="5" fillId="0" borderId="10" xfId="48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1" fontId="8" fillId="0" borderId="10" xfId="48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41" fontId="10" fillId="0" borderId="30" xfId="48" applyFont="1" applyBorder="1" applyAlignment="1">
      <alignment horizontal="right" vertical="center"/>
    </xf>
    <xf numFmtId="0" fontId="2" fillId="0" borderId="29" xfId="0" applyFont="1" applyBorder="1" applyAlignment="1">
      <alignment vertical="center" wrapText="1"/>
    </xf>
    <xf numFmtId="41" fontId="10" fillId="0" borderId="29" xfId="48" applyFont="1" applyBorder="1" applyAlignment="1">
      <alignment horizontal="right" vertical="center"/>
    </xf>
    <xf numFmtId="0" fontId="2" fillId="0" borderId="29" xfId="0" applyNumberFormat="1" applyFont="1" applyBorder="1" applyAlignment="1">
      <alignment vertical="center" wrapText="1"/>
    </xf>
    <xf numFmtId="41" fontId="10" fillId="34" borderId="29" xfId="48" applyFont="1" applyFill="1" applyBorder="1" applyAlignment="1">
      <alignment horizontal="right" vertical="center"/>
    </xf>
    <xf numFmtId="41" fontId="10" fillId="34" borderId="29" xfId="48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 indent="1"/>
    </xf>
    <xf numFmtId="3" fontId="5" fillId="0" borderId="10" xfId="48" applyNumberFormat="1" applyFont="1" applyBorder="1" applyAlignment="1">
      <alignment horizontal="right" vertical="center" wrapText="1" indent="1"/>
    </xf>
    <xf numFmtId="179" fontId="5" fillId="0" borderId="10" xfId="0" applyNumberFormat="1" applyFont="1" applyBorder="1" applyAlignment="1">
      <alignment horizontal="right" vertical="center" wrapText="1" indent="1"/>
    </xf>
    <xf numFmtId="3" fontId="5" fillId="0" borderId="10" xfId="0" applyNumberFormat="1" applyFont="1" applyBorder="1" applyAlignment="1">
      <alignment horizontal="right" vertical="center" indent="1"/>
    </xf>
    <xf numFmtId="41" fontId="5" fillId="0" borderId="10" xfId="48" applyFont="1" applyBorder="1" applyAlignment="1">
      <alignment horizontal="right" vertical="center" indent="1"/>
    </xf>
    <xf numFmtId="41" fontId="8" fillId="0" borderId="10" xfId="48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left" vertical="center" wrapText="1" indent="2"/>
    </xf>
    <xf numFmtId="0" fontId="2" fillId="34" borderId="29" xfId="0" applyFont="1" applyFill="1" applyBorder="1" applyAlignment="1" applyProtection="1">
      <alignment vertical="center" wrapText="1"/>
      <protection locked="0"/>
    </xf>
    <xf numFmtId="0" fontId="2" fillId="34" borderId="29" xfId="0" applyFont="1" applyFill="1" applyBorder="1" applyAlignment="1">
      <alignment horizontal="left" vertical="center" wrapText="1"/>
    </xf>
    <xf numFmtId="0" fontId="5" fillId="34" borderId="29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41" fontId="2" fillId="0" borderId="29" xfId="48" applyFont="1" applyBorder="1" applyAlignment="1">
      <alignment horizontal="right" vertical="center"/>
    </xf>
    <xf numFmtId="41" fontId="8" fillId="0" borderId="10" xfId="48" applyFont="1" applyBorder="1" applyAlignment="1">
      <alignment vertical="center"/>
    </xf>
    <xf numFmtId="41" fontId="5" fillId="0" borderId="10" xfId="48" applyFont="1" applyBorder="1" applyAlignment="1">
      <alignment horizontal="left" vertical="center" wrapText="1"/>
    </xf>
    <xf numFmtId="41" fontId="5" fillId="0" borderId="10" xfId="48" applyFont="1" applyBorder="1" applyAlignment="1">
      <alignment horizontal="left" vertical="center" wrapText="1" indent="2"/>
    </xf>
    <xf numFmtId="0" fontId="2" fillId="34" borderId="31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41" fontId="8" fillId="0" borderId="10" xfId="48" applyFont="1" applyBorder="1" applyAlignment="1">
      <alignment horizontal="right" vertical="center" indent="1"/>
    </xf>
    <xf numFmtId="0" fontId="56" fillId="0" borderId="10" xfId="48" applyNumberFormat="1" applyFont="1" applyBorder="1" applyAlignment="1">
      <alignment horizontal="center" vertical="center"/>
    </xf>
    <xf numFmtId="41" fontId="57" fillId="33" borderId="10" xfId="48" applyFont="1" applyFill="1" applyBorder="1" applyAlignment="1">
      <alignment horizontal="center" vertical="center"/>
    </xf>
    <xf numFmtId="41" fontId="57" fillId="33" borderId="10" xfId="48" applyFont="1" applyFill="1" applyBorder="1" applyAlignment="1">
      <alignment horizontal="center" vertical="center" wrapText="1"/>
    </xf>
    <xf numFmtId="0" fontId="57" fillId="33" borderId="10" xfId="48" applyNumberFormat="1" applyFont="1" applyFill="1" applyBorder="1" applyAlignment="1">
      <alignment horizontal="center" vertical="center"/>
    </xf>
    <xf numFmtId="41" fontId="0" fillId="0" borderId="0" xfId="48" applyFont="1" applyAlignment="1">
      <alignment/>
    </xf>
    <xf numFmtId="41" fontId="3" fillId="0" borderId="0" xfId="48" applyFont="1" applyBorder="1" applyAlignment="1">
      <alignment horizontal="center"/>
    </xf>
    <xf numFmtId="41" fontId="0" fillId="0" borderId="0" xfId="48" applyFont="1" applyBorder="1" applyAlignment="1">
      <alignment horizontal="center" vertical="center"/>
    </xf>
    <xf numFmtId="41" fontId="0" fillId="0" borderId="0" xfId="48" applyFont="1" applyAlignment="1">
      <alignment vertical="center"/>
    </xf>
    <xf numFmtId="41" fontId="0" fillId="0" borderId="0" xfId="48" applyFont="1" applyAlignment="1">
      <alignment horizontal="center" vertical="center"/>
    </xf>
    <xf numFmtId="0" fontId="56" fillId="0" borderId="10" xfId="48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41" fontId="17" fillId="0" borderId="15" xfId="48" applyFont="1" applyBorder="1" applyAlignment="1">
      <alignment vertical="center" wrapText="1"/>
    </xf>
    <xf numFmtId="41" fontId="17" fillId="0" borderId="18" xfId="48" applyFont="1" applyBorder="1" applyAlignment="1">
      <alignment vertical="center" wrapText="1"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41" fontId="9" fillId="0" borderId="10" xfId="48" applyFont="1" applyBorder="1" applyAlignment="1">
      <alignment vertical="center"/>
    </xf>
    <xf numFmtId="41" fontId="9" fillId="0" borderId="11" xfId="48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41" fontId="17" fillId="0" borderId="10" xfId="48" applyFont="1" applyBorder="1" applyAlignment="1">
      <alignment vertical="center" wrapText="1"/>
    </xf>
    <xf numFmtId="41" fontId="17" fillId="0" borderId="11" xfId="48" applyFont="1" applyBorder="1" applyAlignment="1">
      <alignment vertical="center" wrapText="1"/>
    </xf>
    <xf numFmtId="41" fontId="9" fillId="0" borderId="20" xfId="48" applyFont="1" applyBorder="1" applyAlignment="1">
      <alignment vertical="center"/>
    </xf>
    <xf numFmtId="41" fontId="9" fillId="0" borderId="22" xfId="48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41" fontId="17" fillId="0" borderId="32" xfId="48" applyFont="1" applyBorder="1" applyAlignment="1">
      <alignment vertical="center" wrapText="1"/>
    </xf>
    <xf numFmtId="41" fontId="17" fillId="0" borderId="33" xfId="48" applyFont="1" applyBorder="1" applyAlignment="1">
      <alignment vertical="center"/>
    </xf>
    <xf numFmtId="41" fontId="17" fillId="0" borderId="18" xfId="48" applyFont="1" applyBorder="1" applyAlignment="1">
      <alignment vertical="center"/>
    </xf>
    <xf numFmtId="41" fontId="9" fillId="0" borderId="11" xfId="48" applyFont="1" applyBorder="1" applyAlignment="1">
      <alignment vertical="center" wrapText="1"/>
    </xf>
    <xf numFmtId="41" fontId="17" fillId="0" borderId="11" xfId="48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41" fontId="9" fillId="0" borderId="10" xfId="48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41" fontId="9" fillId="0" borderId="10" xfId="48" applyFont="1" applyBorder="1" applyAlignment="1">
      <alignment horizontal="right" vertical="center"/>
    </xf>
    <xf numFmtId="0" fontId="9" fillId="0" borderId="0" xfId="0" applyFont="1" applyAlignment="1">
      <alignment/>
    </xf>
    <xf numFmtId="41" fontId="9" fillId="0" borderId="0" xfId="48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19" xfId="0" applyFont="1" applyBorder="1" applyAlignment="1">
      <alignment horizontal="center" vertical="center" wrapText="1"/>
    </xf>
    <xf numFmtId="41" fontId="9" fillId="0" borderId="10" xfId="48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41" fontId="5" fillId="34" borderId="34" xfId="48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41" fontId="5" fillId="34" borderId="10" xfId="48" applyFont="1" applyFill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4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 vertical="center" wrapText="1" indent="1"/>
    </xf>
    <xf numFmtId="41" fontId="5" fillId="0" borderId="12" xfId="48" applyFont="1" applyBorder="1" applyAlignment="1">
      <alignment horizontal="right" vertical="center" indent="1"/>
    </xf>
    <xf numFmtId="0" fontId="2" fillId="0" borderId="3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6" fillId="0" borderId="10" xfId="48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41" fontId="5" fillId="0" borderId="34" xfId="48" applyFont="1" applyBorder="1" applyAlignment="1">
      <alignment horizontal="right" vertical="center"/>
    </xf>
    <xf numFmtId="0" fontId="56" fillId="0" borderId="10" xfId="48" applyNumberFormat="1" applyFont="1" applyBorder="1" applyAlignment="1">
      <alignment horizontal="center" vertical="center"/>
    </xf>
    <xf numFmtId="41" fontId="8" fillId="35" borderId="10" xfId="48" applyFont="1" applyFill="1" applyBorder="1" applyAlignment="1">
      <alignment horizontal="center" vertical="center"/>
    </xf>
    <xf numFmtId="41" fontId="5" fillId="36" borderId="10" xfId="48" applyFont="1" applyFill="1" applyBorder="1" applyAlignment="1">
      <alignment horizontal="center"/>
    </xf>
    <xf numFmtId="41" fontId="5" fillId="36" borderId="10" xfId="48" applyFont="1" applyFill="1" applyBorder="1" applyAlignment="1">
      <alignment/>
    </xf>
    <xf numFmtId="41" fontId="5" fillId="36" borderId="10" xfId="48" applyFont="1" applyFill="1" applyBorder="1" applyAlignment="1">
      <alignment vertical="center"/>
    </xf>
    <xf numFmtId="182" fontId="5" fillId="0" borderId="10" xfId="48" applyNumberFormat="1" applyFont="1" applyBorder="1" applyAlignment="1">
      <alignment horizontal="right" vertical="center" indent="1"/>
    </xf>
    <xf numFmtId="182" fontId="5" fillId="0" borderId="12" xfId="0" applyNumberFormat="1" applyFont="1" applyBorder="1" applyAlignment="1">
      <alignment horizontal="right" vertical="center" indent="1"/>
    </xf>
    <xf numFmtId="41" fontId="5" fillId="36" borderId="10" xfId="48" applyFont="1" applyFill="1" applyBorder="1" applyAlignment="1">
      <alignment horizontal="center"/>
    </xf>
    <xf numFmtId="0" fontId="56" fillId="0" borderId="10" xfId="48" applyNumberFormat="1" applyFont="1" applyBorder="1" applyAlignment="1">
      <alignment horizontal="center" vertical="center"/>
    </xf>
    <xf numFmtId="0" fontId="0" fillId="36" borderId="0" xfId="0" applyFill="1" applyAlignment="1">
      <alignment/>
    </xf>
    <xf numFmtId="0" fontId="56" fillId="36" borderId="10" xfId="48" applyNumberFormat="1" applyFont="1" applyFill="1" applyBorder="1" applyAlignment="1">
      <alignment horizontal="center" vertical="center"/>
    </xf>
    <xf numFmtId="41" fontId="0" fillId="36" borderId="0" xfId="48" applyFont="1" applyFill="1" applyAlignment="1">
      <alignment/>
    </xf>
    <xf numFmtId="41" fontId="0" fillId="36" borderId="0" xfId="0" applyNumberFormat="1" applyFill="1" applyAlignment="1">
      <alignment/>
    </xf>
    <xf numFmtId="0" fontId="0" fillId="36" borderId="0" xfId="0" applyFill="1" applyBorder="1" applyAlignment="1">
      <alignment/>
    </xf>
    <xf numFmtId="41" fontId="0" fillId="36" borderId="0" xfId="48" applyFont="1" applyFill="1" applyBorder="1" applyAlignment="1">
      <alignment/>
    </xf>
    <xf numFmtId="0" fontId="2" fillId="36" borderId="31" xfId="0" applyFont="1" applyFill="1" applyBorder="1" applyAlignment="1">
      <alignment horizontal="left" vertical="center" wrapText="1"/>
    </xf>
    <xf numFmtId="0" fontId="2" fillId="36" borderId="29" xfId="0" applyFont="1" applyFill="1" applyBorder="1" applyAlignment="1">
      <alignment horizontal="left" vertical="center" wrapText="1"/>
    </xf>
    <xf numFmtId="0" fontId="5" fillId="36" borderId="29" xfId="0" applyFont="1" applyFill="1" applyBorder="1" applyAlignment="1">
      <alignment horizontal="left" vertical="center" wrapText="1"/>
    </xf>
    <xf numFmtId="41" fontId="10" fillId="36" borderId="29" xfId="48" applyFont="1" applyFill="1" applyBorder="1" applyAlignment="1">
      <alignment horizontal="right" vertical="center"/>
    </xf>
    <xf numFmtId="0" fontId="10" fillId="36" borderId="10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2" xfId="0" applyFont="1" applyBorder="1" applyAlignment="1">
      <alignment/>
    </xf>
    <xf numFmtId="0" fontId="5" fillId="0" borderId="3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41" fontId="5" fillId="0" borderId="42" xfId="48" applyFont="1" applyBorder="1" applyAlignment="1">
      <alignment horizontal="center" vertical="center"/>
    </xf>
    <xf numFmtId="41" fontId="5" fillId="0" borderId="15" xfId="48" applyFont="1" applyBorder="1" applyAlignment="1">
      <alignment horizontal="center" vertical="center"/>
    </xf>
    <xf numFmtId="41" fontId="5" fillId="0" borderId="43" xfId="48" applyFont="1" applyBorder="1" applyAlignment="1">
      <alignment horizontal="center" vertical="center"/>
    </xf>
    <xf numFmtId="41" fontId="5" fillId="0" borderId="18" xfId="48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1" fontId="5" fillId="0" borderId="12" xfId="48" applyFont="1" applyBorder="1" applyAlignment="1">
      <alignment horizontal="center" vertical="center"/>
    </xf>
    <xf numFmtId="41" fontId="5" fillId="0" borderId="34" xfId="48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1" fontId="5" fillId="34" borderId="12" xfId="48" applyFont="1" applyFill="1" applyBorder="1" applyAlignment="1">
      <alignment horizontal="center"/>
    </xf>
    <xf numFmtId="41" fontId="5" fillId="34" borderId="34" xfId="48" applyFont="1" applyFill="1" applyBorder="1" applyAlignment="1">
      <alignment horizontal="center"/>
    </xf>
    <xf numFmtId="41" fontId="5" fillId="34" borderId="15" xfId="48" applyFont="1" applyFill="1" applyBorder="1" applyAlignment="1">
      <alignment horizontal="center"/>
    </xf>
    <xf numFmtId="41" fontId="5" fillId="0" borderId="12" xfId="48" applyNumberFormat="1" applyFont="1" applyBorder="1" applyAlignment="1">
      <alignment horizontal="center"/>
    </xf>
    <xf numFmtId="41" fontId="5" fillId="0" borderId="34" xfId="48" applyNumberFormat="1" applyFont="1" applyBorder="1" applyAlignment="1">
      <alignment horizontal="center"/>
    </xf>
    <xf numFmtId="41" fontId="5" fillId="0" borderId="15" xfId="48" applyNumberFormat="1" applyFont="1" applyBorder="1" applyAlignment="1">
      <alignment horizontal="center"/>
    </xf>
    <xf numFmtId="41" fontId="5" fillId="34" borderId="12" xfId="48" applyNumberFormat="1" applyFont="1" applyFill="1" applyBorder="1" applyAlignment="1">
      <alignment horizontal="center"/>
    </xf>
    <xf numFmtId="41" fontId="5" fillId="34" borderId="34" xfId="48" applyNumberFormat="1" applyFont="1" applyFill="1" applyBorder="1" applyAlignment="1">
      <alignment horizontal="center"/>
    </xf>
    <xf numFmtId="41" fontId="5" fillId="34" borderId="15" xfId="48" applyNumberFormat="1" applyFont="1" applyFill="1" applyBorder="1" applyAlignment="1">
      <alignment horizontal="center"/>
    </xf>
    <xf numFmtId="41" fontId="5" fillId="36" borderId="10" xfId="48" applyFont="1" applyFill="1" applyBorder="1" applyAlignment="1">
      <alignment horizontal="center"/>
    </xf>
    <xf numFmtId="0" fontId="56" fillId="0" borderId="12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41" fontId="5" fillId="0" borderId="10" xfId="48" applyFont="1" applyBorder="1" applyAlignment="1">
      <alignment horizontal="center"/>
    </xf>
    <xf numFmtId="41" fontId="5" fillId="0" borderId="12" xfId="48" applyFont="1" applyBorder="1" applyAlignment="1">
      <alignment horizontal="center"/>
    </xf>
    <xf numFmtId="41" fontId="5" fillId="0" borderId="34" xfId="48" applyFont="1" applyBorder="1" applyAlignment="1">
      <alignment horizontal="center"/>
    </xf>
    <xf numFmtId="41" fontId="5" fillId="0" borderId="15" xfId="48" applyFont="1" applyBorder="1" applyAlignment="1">
      <alignment horizontal="center"/>
    </xf>
    <xf numFmtId="0" fontId="56" fillId="0" borderId="12" xfId="48" applyNumberFormat="1" applyFont="1" applyBorder="1" applyAlignment="1">
      <alignment horizontal="center" vertical="center"/>
    </xf>
    <xf numFmtId="0" fontId="56" fillId="0" borderId="15" xfId="48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6" fillId="0" borderId="10" xfId="48" applyNumberFormat="1" applyFont="1" applyBorder="1" applyAlignment="1">
      <alignment horizontal="center" vertical="center"/>
    </xf>
    <xf numFmtId="41" fontId="56" fillId="0" borderId="10" xfId="48" applyFont="1" applyBorder="1" applyAlignment="1">
      <alignment horizontal="center" vertical="center"/>
    </xf>
    <xf numFmtId="41" fontId="56" fillId="0" borderId="10" xfId="48" applyFont="1" applyBorder="1" applyAlignment="1">
      <alignment horizontal="center" vertical="center" wrapText="1"/>
    </xf>
    <xf numFmtId="0" fontId="56" fillId="0" borderId="34" xfId="48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41" fontId="5" fillId="0" borderId="10" xfId="48" applyNumberFormat="1" applyFont="1" applyBorder="1" applyAlignment="1">
      <alignment horizontal="center"/>
    </xf>
    <xf numFmtId="41" fontId="56" fillId="0" borderId="12" xfId="48" applyFont="1" applyBorder="1" applyAlignment="1">
      <alignment horizontal="center" vertical="center" wrapText="1"/>
    </xf>
    <xf numFmtId="41" fontId="56" fillId="0" borderId="34" xfId="48" applyFont="1" applyBorder="1" applyAlignment="1">
      <alignment horizontal="center" vertical="center" wrapText="1"/>
    </xf>
    <xf numFmtId="41" fontId="56" fillId="0" borderId="15" xfId="48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181" fontId="5" fillId="0" borderId="12" xfId="0" applyNumberFormat="1" applyFont="1" applyBorder="1" applyAlignment="1">
      <alignment horizontal="center"/>
    </xf>
    <xf numFmtId="181" fontId="5" fillId="0" borderId="34" xfId="0" applyNumberFormat="1" applyFont="1" applyBorder="1" applyAlignment="1">
      <alignment horizontal="center"/>
    </xf>
    <xf numFmtId="181" fontId="5" fillId="0" borderId="15" xfId="0" applyNumberFormat="1" applyFont="1" applyBorder="1" applyAlignment="1">
      <alignment horizontal="center"/>
    </xf>
    <xf numFmtId="0" fontId="59" fillId="0" borderId="34" xfId="0" applyFont="1" applyBorder="1" applyAlignment="1">
      <alignment/>
    </xf>
    <xf numFmtId="0" fontId="59" fillId="0" borderId="15" xfId="0" applyFont="1" applyBorder="1" applyAlignment="1">
      <alignment/>
    </xf>
    <xf numFmtId="41" fontId="56" fillId="0" borderId="12" xfId="48" applyFont="1" applyBorder="1" applyAlignment="1">
      <alignment horizontal="center" vertical="center"/>
    </xf>
    <xf numFmtId="41" fontId="56" fillId="0" borderId="34" xfId="48" applyFont="1" applyBorder="1" applyAlignment="1">
      <alignment horizontal="center" vertical="center"/>
    </xf>
    <xf numFmtId="41" fontId="56" fillId="0" borderId="15" xfId="48" applyFont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57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41" fontId="4" fillId="0" borderId="0" xfId="48" applyFont="1" applyAlignment="1">
      <alignment horizontal="center"/>
    </xf>
    <xf numFmtId="41" fontId="56" fillId="36" borderId="10" xfId="48" applyFont="1" applyFill="1" applyBorder="1" applyAlignment="1">
      <alignment horizontal="center" vertical="center" wrapText="1"/>
    </xf>
    <xf numFmtId="0" fontId="56" fillId="36" borderId="12" xfId="0" applyFont="1" applyFill="1" applyBorder="1" applyAlignment="1">
      <alignment horizontal="center" vertical="center" wrapText="1"/>
    </xf>
    <xf numFmtId="0" fontId="56" fillId="36" borderId="34" xfId="0" applyFont="1" applyFill="1" applyBorder="1" applyAlignment="1">
      <alignment horizontal="center" vertical="center" wrapText="1"/>
    </xf>
    <xf numFmtId="0" fontId="56" fillId="36" borderId="15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41" fontId="56" fillId="36" borderId="12" xfId="48" applyFont="1" applyFill="1" applyBorder="1" applyAlignment="1">
      <alignment horizontal="center" vertical="center" wrapText="1"/>
    </xf>
    <xf numFmtId="41" fontId="56" fillId="36" borderId="34" xfId="48" applyFont="1" applyFill="1" applyBorder="1" applyAlignment="1">
      <alignment horizontal="center" vertical="center" wrapText="1"/>
    </xf>
    <xf numFmtId="41" fontId="56" fillId="36" borderId="15" xfId="48" applyFont="1" applyFill="1" applyBorder="1" applyAlignment="1">
      <alignment horizontal="center" vertical="center" wrapText="1"/>
    </xf>
    <xf numFmtId="41" fontId="5" fillId="36" borderId="12" xfId="48" applyNumberFormat="1" applyFont="1" applyFill="1" applyBorder="1" applyAlignment="1">
      <alignment horizontal="center"/>
    </xf>
    <xf numFmtId="41" fontId="5" fillId="36" borderId="15" xfId="48" applyNumberFormat="1" applyFont="1" applyFill="1" applyBorder="1" applyAlignment="1">
      <alignment horizontal="center"/>
    </xf>
    <xf numFmtId="0" fontId="56" fillId="36" borderId="12" xfId="48" applyNumberFormat="1" applyFont="1" applyFill="1" applyBorder="1" applyAlignment="1">
      <alignment horizontal="center" vertical="center"/>
    </xf>
    <xf numFmtId="0" fontId="56" fillId="36" borderId="15" xfId="48" applyNumberFormat="1" applyFont="1" applyFill="1" applyBorder="1" applyAlignment="1">
      <alignment horizontal="center" vertical="center"/>
    </xf>
    <xf numFmtId="0" fontId="56" fillId="36" borderId="12" xfId="0" applyFont="1" applyFill="1" applyBorder="1" applyAlignment="1">
      <alignment horizontal="center" vertical="center"/>
    </xf>
    <xf numFmtId="0" fontId="56" fillId="36" borderId="15" xfId="0" applyFont="1" applyFill="1" applyBorder="1" applyAlignment="1">
      <alignment horizontal="center" vertical="center"/>
    </xf>
    <xf numFmtId="41" fontId="5" fillId="36" borderId="12" xfId="48" applyFont="1" applyFill="1" applyBorder="1" applyAlignment="1">
      <alignment horizontal="center"/>
    </xf>
    <xf numFmtId="41" fontId="5" fillId="36" borderId="15" xfId="48" applyFont="1" applyFill="1" applyBorder="1" applyAlignment="1">
      <alignment horizontal="center"/>
    </xf>
    <xf numFmtId="41" fontId="5" fillId="36" borderId="10" xfId="48" applyNumberFormat="1" applyFont="1" applyFill="1" applyBorder="1" applyAlignment="1">
      <alignment horizontal="center"/>
    </xf>
    <xf numFmtId="41" fontId="5" fillId="36" borderId="34" xfId="48" applyNumberFormat="1" applyFont="1" applyFill="1" applyBorder="1" applyAlignment="1">
      <alignment horizontal="center"/>
    </xf>
    <xf numFmtId="0" fontId="56" fillId="36" borderId="34" xfId="48" applyNumberFormat="1" applyFont="1" applyFill="1" applyBorder="1" applyAlignment="1">
      <alignment horizontal="center" vertical="center"/>
    </xf>
    <xf numFmtId="41" fontId="56" fillId="36" borderId="10" xfId="48" applyFont="1" applyFill="1" applyBorder="1" applyAlignment="1">
      <alignment horizontal="center" vertical="center"/>
    </xf>
    <xf numFmtId="41" fontId="5" fillId="36" borderId="34" xfId="48" applyFont="1" applyFill="1" applyBorder="1" applyAlignment="1">
      <alignment horizontal="center"/>
    </xf>
    <xf numFmtId="0" fontId="56" fillId="36" borderId="34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5" sqref="A5:J5"/>
    </sheetView>
  </sheetViews>
  <sheetFormatPr defaultColWidth="8.88671875" defaultRowHeight="13.5"/>
  <cols>
    <col min="1" max="1" width="5.88671875" style="0" customWidth="1"/>
    <col min="2" max="2" width="7.77734375" style="0" customWidth="1"/>
    <col min="3" max="4" width="9.10546875" style="0" customWidth="1"/>
    <col min="6" max="6" width="6.6640625" style="0" customWidth="1"/>
    <col min="7" max="7" width="7.77734375" style="0" customWidth="1"/>
    <col min="8" max="8" width="9.3359375" style="0" customWidth="1"/>
    <col min="9" max="9" width="10.88671875" style="0" customWidth="1"/>
    <col min="10" max="10" width="9.5546875" style="0" customWidth="1"/>
  </cols>
  <sheetData>
    <row r="1" spans="1:10" ht="22.5" customHeight="1">
      <c r="A1" s="207" t="s">
        <v>103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18.75">
      <c r="A2" s="208" t="s">
        <v>154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ht="22.5" customHeight="1">
      <c r="A3" s="208" t="s">
        <v>204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ht="20.25" hidden="1">
      <c r="A4" s="210"/>
      <c r="B4" s="210"/>
      <c r="C4" s="210"/>
      <c r="D4" s="210"/>
      <c r="E4" s="210"/>
      <c r="F4" s="210"/>
      <c r="G4" s="210"/>
      <c r="H4" s="210"/>
      <c r="I4" s="210"/>
      <c r="J4" s="210"/>
    </row>
    <row r="5" spans="1:10" ht="45.75" customHeight="1" thickBot="1">
      <c r="A5" s="211" t="s">
        <v>219</v>
      </c>
      <c r="B5" s="211"/>
      <c r="C5" s="211"/>
      <c r="D5" s="211"/>
      <c r="E5" s="211"/>
      <c r="F5" s="211"/>
      <c r="G5" s="211"/>
      <c r="H5" s="211"/>
      <c r="I5" s="211"/>
      <c r="J5" s="211"/>
    </row>
    <row r="6" spans="1:10" ht="30" customHeight="1" thickBot="1">
      <c r="A6" s="212" t="s">
        <v>72</v>
      </c>
      <c r="B6" s="213"/>
      <c r="C6" s="213"/>
      <c r="D6" s="213"/>
      <c r="E6" s="214"/>
      <c r="F6" s="212" t="s">
        <v>71</v>
      </c>
      <c r="G6" s="213"/>
      <c r="H6" s="213"/>
      <c r="I6" s="213"/>
      <c r="J6" s="215"/>
    </row>
    <row r="7" spans="1:10" ht="22.5" customHeight="1" thickTop="1">
      <c r="A7" s="203" t="s">
        <v>74</v>
      </c>
      <c r="B7" s="205" t="s">
        <v>64</v>
      </c>
      <c r="C7" s="190" t="s">
        <v>205</v>
      </c>
      <c r="D7" s="190" t="s">
        <v>206</v>
      </c>
      <c r="E7" s="29" t="s">
        <v>94</v>
      </c>
      <c r="F7" s="203" t="s">
        <v>74</v>
      </c>
      <c r="G7" s="205" t="s">
        <v>64</v>
      </c>
      <c r="H7" s="190" t="s">
        <v>205</v>
      </c>
      <c r="I7" s="190" t="s">
        <v>206</v>
      </c>
      <c r="J7" s="54" t="s">
        <v>94</v>
      </c>
    </row>
    <row r="8" spans="1:10" ht="22.5" customHeight="1">
      <c r="A8" s="204"/>
      <c r="B8" s="206"/>
      <c r="C8" s="191"/>
      <c r="D8" s="191"/>
      <c r="E8" s="64" t="s">
        <v>33</v>
      </c>
      <c r="F8" s="204"/>
      <c r="G8" s="206"/>
      <c r="H8" s="191"/>
      <c r="I8" s="191"/>
      <c r="J8" s="65" t="s">
        <v>33</v>
      </c>
    </row>
    <row r="9" spans="1:10" ht="33" customHeight="1" thickBot="1">
      <c r="A9" s="192" t="s">
        <v>65</v>
      </c>
      <c r="B9" s="193"/>
      <c r="C9" s="66">
        <f>TRUNC(C10+C11+C12+C13+C14+C15)</f>
        <v>786303</v>
      </c>
      <c r="D9" s="66">
        <f>TRUNC(D10+D11+D12+D13+D14+D15)</f>
        <v>792494</v>
      </c>
      <c r="E9" s="67">
        <f aca="true" t="shared" si="0" ref="E9:E15">(D9-C9)</f>
        <v>6191</v>
      </c>
      <c r="F9" s="192" t="s">
        <v>65</v>
      </c>
      <c r="G9" s="193"/>
      <c r="H9" s="66">
        <f>TRUNC(H10+H11+H12+H13+H14+H15+H16+H17)</f>
        <v>786303</v>
      </c>
      <c r="I9" s="66">
        <f>TRUNC(I10+I11+I12+I13+I14+I15+I16+I17)</f>
        <v>792494</v>
      </c>
      <c r="J9" s="68">
        <f>(I9-H9)</f>
        <v>6191</v>
      </c>
    </row>
    <row r="10" spans="1:10" ht="39.75" customHeight="1" thickTop="1">
      <c r="A10" s="194" t="s">
        <v>4</v>
      </c>
      <c r="B10" s="196" t="s">
        <v>4</v>
      </c>
      <c r="C10" s="198">
        <v>698146</v>
      </c>
      <c r="D10" s="198">
        <f>'2013총괄표(추경)'!E13+'2013총괄표(추경)'!E14</f>
        <v>698146</v>
      </c>
      <c r="E10" s="200">
        <f>TRUNC(D10-C10)</f>
        <v>0</v>
      </c>
      <c r="F10" s="202" t="s">
        <v>5</v>
      </c>
      <c r="G10" s="40" t="s">
        <v>6</v>
      </c>
      <c r="H10" s="41">
        <v>458193</v>
      </c>
      <c r="I10" s="41">
        <f>'2013총괄표(추경)'!K12</f>
        <v>458193</v>
      </c>
      <c r="J10" s="55">
        <f>(I10-H10)</f>
        <v>0</v>
      </c>
    </row>
    <row r="11" spans="1:10" ht="39.75" customHeight="1">
      <c r="A11" s="195"/>
      <c r="B11" s="197"/>
      <c r="C11" s="199"/>
      <c r="D11" s="199"/>
      <c r="E11" s="201"/>
      <c r="F11" s="202"/>
      <c r="G11" s="13" t="s">
        <v>7</v>
      </c>
      <c r="H11" s="15">
        <v>2000</v>
      </c>
      <c r="I11" s="15">
        <f>'2013총괄표(추경)'!K18</f>
        <v>2000</v>
      </c>
      <c r="J11" s="16">
        <f aca="true" t="shared" si="1" ref="J11:J17">(I11-H11)</f>
        <v>0</v>
      </c>
    </row>
    <row r="12" spans="1:10" ht="39.75" customHeight="1">
      <c r="A12" s="70" t="s">
        <v>8</v>
      </c>
      <c r="B12" s="12" t="s">
        <v>8</v>
      </c>
      <c r="C12" s="15">
        <v>51000</v>
      </c>
      <c r="D12" s="15">
        <f>'2013총괄표(추경)'!E16+'2013총괄표(추경)'!E17</f>
        <v>57181</v>
      </c>
      <c r="E12" s="42">
        <f t="shared" si="0"/>
        <v>6181</v>
      </c>
      <c r="F12" s="195"/>
      <c r="G12" s="12" t="s">
        <v>31</v>
      </c>
      <c r="H12" s="15">
        <v>65144</v>
      </c>
      <c r="I12" s="15">
        <f>'2013총괄표(추경)'!K21</f>
        <v>65144</v>
      </c>
      <c r="J12" s="16">
        <f t="shared" si="1"/>
        <v>0</v>
      </c>
    </row>
    <row r="13" spans="1:11" ht="39.75" customHeight="1">
      <c r="A13" s="46" t="s">
        <v>9</v>
      </c>
      <c r="B13" s="12" t="s">
        <v>9</v>
      </c>
      <c r="C13" s="15">
        <v>4250</v>
      </c>
      <c r="D13" s="15">
        <f>'2013총괄표(추경)'!E19+'2013총괄표(추경)'!E20</f>
        <v>4250</v>
      </c>
      <c r="E13" s="42">
        <f t="shared" si="0"/>
        <v>0</v>
      </c>
      <c r="F13" s="43" t="s">
        <v>10</v>
      </c>
      <c r="G13" s="12" t="s">
        <v>32</v>
      </c>
      <c r="H13" s="15">
        <v>13840</v>
      </c>
      <c r="I13" s="15">
        <f>'2013총괄표(추경)'!K28</f>
        <v>13840</v>
      </c>
      <c r="J13" s="16">
        <f t="shared" si="1"/>
        <v>0</v>
      </c>
      <c r="K13" s="21"/>
    </row>
    <row r="14" spans="1:10" ht="39.75" customHeight="1">
      <c r="A14" s="46" t="s">
        <v>11</v>
      </c>
      <c r="B14" s="12" t="s">
        <v>11</v>
      </c>
      <c r="C14" s="15">
        <v>22709</v>
      </c>
      <c r="D14" s="15">
        <f>'2013총괄표(추경)'!E22+'2013총괄표(추경)'!E23</f>
        <v>22709</v>
      </c>
      <c r="E14" s="42">
        <f t="shared" si="0"/>
        <v>0</v>
      </c>
      <c r="F14" s="187" t="s">
        <v>12</v>
      </c>
      <c r="G14" s="12" t="s">
        <v>31</v>
      </c>
      <c r="H14" s="15">
        <v>196711</v>
      </c>
      <c r="I14" s="15">
        <v>196711</v>
      </c>
      <c r="J14" s="16">
        <f t="shared" si="1"/>
        <v>0</v>
      </c>
    </row>
    <row r="15" spans="1:10" ht="39.75" customHeight="1">
      <c r="A15" s="46" t="s">
        <v>13</v>
      </c>
      <c r="B15" s="12" t="s">
        <v>13</v>
      </c>
      <c r="C15" s="15">
        <v>10198</v>
      </c>
      <c r="D15" s="15">
        <f>'2013총괄표(추경)'!E25+'2013총괄표(추경)'!E26</f>
        <v>10208</v>
      </c>
      <c r="E15" s="42">
        <f t="shared" si="0"/>
        <v>10</v>
      </c>
      <c r="F15" s="188"/>
      <c r="G15" s="13" t="s">
        <v>14</v>
      </c>
      <c r="H15" s="15">
        <v>38932</v>
      </c>
      <c r="I15" s="15">
        <f>'2013총괄표(추경)'!K40</f>
        <v>45058</v>
      </c>
      <c r="J15" s="16">
        <f t="shared" si="1"/>
        <v>6126</v>
      </c>
    </row>
    <row r="16" spans="1:10" ht="39.75" customHeight="1">
      <c r="A16" s="56"/>
      <c r="B16" s="36"/>
      <c r="C16" s="44"/>
      <c r="D16" s="44"/>
      <c r="E16" s="45"/>
      <c r="F16" s="46" t="s">
        <v>55</v>
      </c>
      <c r="G16" s="12" t="s">
        <v>55</v>
      </c>
      <c r="H16" s="15">
        <v>3600</v>
      </c>
      <c r="I16" s="15">
        <f>'2013총괄표(추경)'!K43</f>
        <v>3600</v>
      </c>
      <c r="J16" s="16">
        <f t="shared" si="1"/>
        <v>0</v>
      </c>
    </row>
    <row r="17" spans="1:10" ht="39.75" customHeight="1" thickBot="1">
      <c r="A17" s="57"/>
      <c r="B17" s="58"/>
      <c r="C17" s="59"/>
      <c r="D17" s="59"/>
      <c r="E17" s="60"/>
      <c r="F17" s="143" t="s">
        <v>147</v>
      </c>
      <c r="G17" s="61" t="s">
        <v>147</v>
      </c>
      <c r="H17" s="62">
        <v>7883</v>
      </c>
      <c r="I17" s="62">
        <f>'2013총괄표(추경)'!K45</f>
        <v>7948</v>
      </c>
      <c r="J17" s="63">
        <f t="shared" si="1"/>
        <v>65</v>
      </c>
    </row>
    <row r="18" spans="1:10" s="23" customFormat="1" ht="120.75" customHeight="1">
      <c r="A18" s="189" t="s">
        <v>58</v>
      </c>
      <c r="B18" s="189"/>
      <c r="C18" s="189"/>
      <c r="D18" s="189"/>
      <c r="E18" s="189"/>
      <c r="F18" s="189"/>
      <c r="G18" s="189"/>
      <c r="H18" s="189"/>
      <c r="I18" s="189"/>
      <c r="J18" s="189"/>
    </row>
    <row r="19" spans="1:10" ht="13.5" hidden="1">
      <c r="A19" s="189"/>
      <c r="B19" s="189"/>
      <c r="C19" s="189"/>
      <c r="D19" s="189"/>
      <c r="E19" s="189"/>
      <c r="F19" s="189"/>
      <c r="G19" s="189"/>
      <c r="H19" s="189"/>
      <c r="I19" s="189"/>
      <c r="J19" s="189"/>
    </row>
    <row r="20" spans="1:10" ht="45.75" customHeight="1" hidden="1">
      <c r="A20" s="189"/>
      <c r="B20" s="189"/>
      <c r="C20" s="189"/>
      <c r="D20" s="189"/>
      <c r="E20" s="189"/>
      <c r="F20" s="189"/>
      <c r="G20" s="189"/>
      <c r="H20" s="189"/>
      <c r="I20" s="189"/>
      <c r="J20" s="189"/>
    </row>
    <row r="21" spans="1:10" ht="13.5" hidden="1">
      <c r="A21" s="189"/>
      <c r="B21" s="189"/>
      <c r="C21" s="189"/>
      <c r="D21" s="189"/>
      <c r="E21" s="189"/>
      <c r="F21" s="189"/>
      <c r="G21" s="189"/>
      <c r="H21" s="189"/>
      <c r="I21" s="189"/>
      <c r="J21" s="189"/>
    </row>
    <row r="22" ht="39" customHeight="1"/>
    <row r="23" ht="35.25" customHeight="1"/>
  </sheetData>
  <sheetProtection/>
  <mergeCells count="25">
    <mergeCell ref="G7:G8"/>
    <mergeCell ref="A1:J1"/>
    <mergeCell ref="A2:J2"/>
    <mergeCell ref="A3:J3"/>
    <mergeCell ref="A4:J4"/>
    <mergeCell ref="A5:J5"/>
    <mergeCell ref="A6:E6"/>
    <mergeCell ref="F6:J6"/>
    <mergeCell ref="E10:E11"/>
    <mergeCell ref="F10:F12"/>
    <mergeCell ref="A7:A8"/>
    <mergeCell ref="B7:B8"/>
    <mergeCell ref="C7:C8"/>
    <mergeCell ref="D7:D8"/>
    <mergeCell ref="F7:F8"/>
    <mergeCell ref="F14:F15"/>
    <mergeCell ref="A18:J21"/>
    <mergeCell ref="H7:H8"/>
    <mergeCell ref="I7:I8"/>
    <mergeCell ref="A9:B9"/>
    <mergeCell ref="F9:G9"/>
    <mergeCell ref="A10:A11"/>
    <mergeCell ref="B10:B11"/>
    <mergeCell ref="C10:C11"/>
    <mergeCell ref="D10:D11"/>
  </mergeCells>
  <printOptions/>
  <pageMargins left="0.2" right="0.21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3:W125"/>
  <sheetViews>
    <sheetView zoomScalePageLayoutView="0" workbookViewId="0" topLeftCell="C30">
      <selection activeCell="I88" sqref="I88:I90"/>
    </sheetView>
  </sheetViews>
  <sheetFormatPr defaultColWidth="8.88671875" defaultRowHeight="13.5"/>
  <cols>
    <col min="1" max="1" width="4.4453125" style="1" customWidth="1"/>
    <col min="2" max="2" width="9.5546875" style="1" customWidth="1"/>
    <col min="3" max="3" width="7.3359375" style="1" customWidth="1"/>
    <col min="4" max="4" width="5.5546875" style="1" customWidth="1"/>
    <col min="5" max="5" width="13.5546875" style="0" customWidth="1"/>
    <col min="6" max="6" width="12.21484375" style="0" customWidth="1"/>
    <col min="7" max="7" width="13.10546875" style="0" customWidth="1"/>
    <col min="8" max="8" width="11.10546875" style="0" customWidth="1"/>
    <col min="9" max="9" width="12.3359375" style="0" customWidth="1"/>
    <col min="10" max="10" width="12.21484375" style="0" customWidth="1"/>
    <col min="11" max="11" width="12.10546875" style="0" customWidth="1"/>
    <col min="12" max="12" width="12.88671875" style="0" customWidth="1"/>
    <col min="13" max="13" width="18.77734375" style="109" customWidth="1"/>
  </cols>
  <sheetData>
    <row r="1" ht="1.5" customHeight="1" hidden="1"/>
    <row r="2" ht="13.5" hidden="1"/>
    <row r="3" spans="1:11" ht="20.25" customHeight="1">
      <c r="A3" s="291" t="s">
        <v>191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23" s="4" customFormat="1" ht="19.5" customHeight="1">
      <c r="A4" s="32" t="s">
        <v>84</v>
      </c>
      <c r="B4" s="32" t="s">
        <v>96</v>
      </c>
      <c r="C4" s="33" t="s">
        <v>109</v>
      </c>
      <c r="D4" s="34" t="s">
        <v>85</v>
      </c>
      <c r="E4" s="32" t="s">
        <v>110</v>
      </c>
      <c r="F4" s="32" t="s">
        <v>111</v>
      </c>
      <c r="G4" s="165" t="s">
        <v>86</v>
      </c>
      <c r="H4" s="32" t="s">
        <v>126</v>
      </c>
      <c r="I4" s="32" t="s">
        <v>87</v>
      </c>
      <c r="J4" s="32" t="s">
        <v>88</v>
      </c>
      <c r="K4" s="32" t="s">
        <v>61</v>
      </c>
      <c r="L4" s="17"/>
      <c r="M4" s="110"/>
      <c r="N4" s="17"/>
      <c r="O4" s="17"/>
      <c r="P4" s="17"/>
      <c r="Q4" s="17"/>
      <c r="R4" s="17"/>
      <c r="S4" s="17"/>
      <c r="T4" s="17"/>
      <c r="U4"/>
      <c r="V4"/>
      <c r="W4"/>
    </row>
    <row r="5" spans="1:23" ht="10.5" customHeight="1">
      <c r="A5" s="292">
        <v>1</v>
      </c>
      <c r="B5" s="293" t="s">
        <v>91</v>
      </c>
      <c r="C5" s="322" t="s">
        <v>130</v>
      </c>
      <c r="D5" s="161">
        <v>8</v>
      </c>
      <c r="E5" s="285">
        <f>SUM(F5+E85+F85+G85+H85+J85+K85)</f>
        <v>39818200</v>
      </c>
      <c r="F5" s="281">
        <f>TRUNC(G7+H5+I7+J7+K5+E47+F45+G47+H45+I45+J45+K45)</f>
        <v>33828970</v>
      </c>
      <c r="G5" s="166">
        <v>4458000</v>
      </c>
      <c r="H5" s="285">
        <v>1800000</v>
      </c>
      <c r="I5" s="31">
        <f>TRUNC((G5/3/2*1),-1)</f>
        <v>743000</v>
      </c>
      <c r="J5" s="31">
        <f>I5</f>
        <v>743000</v>
      </c>
      <c r="K5" s="286">
        <v>480000</v>
      </c>
      <c r="L5" s="10"/>
      <c r="M5" s="111"/>
      <c r="N5" s="10"/>
      <c r="O5" s="10"/>
      <c r="P5" s="4"/>
      <c r="Q5" s="4"/>
      <c r="R5" s="4"/>
      <c r="S5" s="4"/>
      <c r="T5" s="4"/>
      <c r="U5" s="4"/>
      <c r="V5" s="4"/>
      <c r="W5" s="4"/>
    </row>
    <row r="6" spans="1:23" ht="10.5" customHeight="1">
      <c r="A6" s="292"/>
      <c r="B6" s="293"/>
      <c r="C6" s="322"/>
      <c r="D6" s="161">
        <v>9</v>
      </c>
      <c r="E6" s="285"/>
      <c r="F6" s="281"/>
      <c r="G6" s="166">
        <v>15220000</v>
      </c>
      <c r="H6" s="285"/>
      <c r="I6" s="31">
        <f>TRUNC((G6/9/2*3),-1)</f>
        <v>2536660</v>
      </c>
      <c r="J6" s="31">
        <f>I6</f>
        <v>2536660</v>
      </c>
      <c r="K6" s="287"/>
      <c r="L6" s="10"/>
      <c r="M6" s="111"/>
      <c r="N6" s="10"/>
      <c r="O6" s="10"/>
      <c r="P6" s="4"/>
      <c r="Q6" s="4"/>
      <c r="R6" s="4"/>
      <c r="S6" s="4"/>
      <c r="T6" s="4"/>
      <c r="U6" s="4"/>
      <c r="V6" s="4"/>
      <c r="W6" s="4"/>
    </row>
    <row r="7" spans="1:13" ht="10.5" customHeight="1">
      <c r="A7" s="292"/>
      <c r="B7" s="293"/>
      <c r="C7" s="322"/>
      <c r="D7" s="161" t="s">
        <v>112</v>
      </c>
      <c r="E7" s="285"/>
      <c r="F7" s="281"/>
      <c r="G7" s="167">
        <f>SUM(G5:G6)</f>
        <v>19678000</v>
      </c>
      <c r="H7" s="285"/>
      <c r="I7" s="18">
        <f>SUM(I5:I6)</f>
        <v>3279660</v>
      </c>
      <c r="J7" s="18">
        <f>SUM(J5:J6)</f>
        <v>3279660</v>
      </c>
      <c r="K7" s="288"/>
      <c r="L7" s="6"/>
      <c r="M7" s="20"/>
    </row>
    <row r="8" spans="1:13" ht="10.5" customHeight="1">
      <c r="A8" s="289">
        <v>2</v>
      </c>
      <c r="B8" s="296" t="s">
        <v>16</v>
      </c>
      <c r="C8" s="323" t="s">
        <v>60</v>
      </c>
      <c r="D8" s="161">
        <v>12</v>
      </c>
      <c r="E8" s="285">
        <f>SUM(F8+E88+F88+G88+H88+J88+K88)</f>
        <v>40584730</v>
      </c>
      <c r="F8" s="281">
        <f>TRUNC(G10+H8+I10+J10+K8+E50+F48+G50+H48+I48+J48+K48)</f>
        <v>34480200</v>
      </c>
      <c r="G8" s="167">
        <v>8526000</v>
      </c>
      <c r="H8" s="285">
        <v>2400000</v>
      </c>
      <c r="I8" s="31">
        <f>TRUNC((G8/6/2*2),-1)</f>
        <v>1421000</v>
      </c>
      <c r="J8" s="31">
        <f>I8</f>
        <v>1421000</v>
      </c>
      <c r="K8" s="286">
        <v>600000</v>
      </c>
      <c r="L8" s="6"/>
      <c r="M8" s="20"/>
    </row>
    <row r="9" spans="1:13" ht="10.5" customHeight="1">
      <c r="A9" s="295"/>
      <c r="B9" s="297"/>
      <c r="C9" s="324"/>
      <c r="D9" s="161">
        <v>13</v>
      </c>
      <c r="E9" s="285"/>
      <c r="F9" s="281"/>
      <c r="G9" s="167">
        <v>8736000</v>
      </c>
      <c r="H9" s="285"/>
      <c r="I9" s="31">
        <f>TRUNC((G9/6/2*2),-1)</f>
        <v>1456000</v>
      </c>
      <c r="J9" s="31">
        <f>I9</f>
        <v>1456000</v>
      </c>
      <c r="K9" s="287"/>
      <c r="L9" s="6"/>
      <c r="M9" s="20"/>
    </row>
    <row r="10" spans="1:13" ht="10.5" customHeight="1">
      <c r="A10" s="290"/>
      <c r="B10" s="298"/>
      <c r="C10" s="325"/>
      <c r="D10" s="161" t="s">
        <v>112</v>
      </c>
      <c r="E10" s="285"/>
      <c r="F10" s="281"/>
      <c r="G10" s="167">
        <f>SUM(G8:G9)</f>
        <v>17262000</v>
      </c>
      <c r="H10" s="285"/>
      <c r="I10" s="18">
        <f>SUM(I8:I9)</f>
        <v>2877000</v>
      </c>
      <c r="J10" s="18">
        <f>SUM(J8:J9)</f>
        <v>2877000</v>
      </c>
      <c r="K10" s="288"/>
      <c r="L10" s="6"/>
      <c r="M10" s="20"/>
    </row>
    <row r="11" spans="1:13" ht="10.5" customHeight="1">
      <c r="A11" s="289">
        <v>3</v>
      </c>
      <c r="B11" s="296" t="s">
        <v>131</v>
      </c>
      <c r="C11" s="323" t="s">
        <v>132</v>
      </c>
      <c r="D11" s="161">
        <v>7</v>
      </c>
      <c r="E11" s="285">
        <f>SUM(F11+E91+F91+G91+H91+J91+K91)</f>
        <v>33633490</v>
      </c>
      <c r="F11" s="272">
        <f>TRUNC(G13+H11+I13+J13+K11+E53+F51+G53+H51+I51+J51+K52)</f>
        <v>28574530</v>
      </c>
      <c r="G11" s="167">
        <v>10674000</v>
      </c>
      <c r="H11" s="285">
        <v>1800000</v>
      </c>
      <c r="I11" s="31">
        <f>TRUNC((G11/9/2*3),-1)</f>
        <v>1779000</v>
      </c>
      <c r="J11" s="18">
        <f>(I11)</f>
        <v>1779000</v>
      </c>
      <c r="K11" s="286">
        <v>480000</v>
      </c>
      <c r="L11" s="6"/>
      <c r="M11" s="20"/>
    </row>
    <row r="12" spans="1:13" ht="10.5" customHeight="1">
      <c r="A12" s="295"/>
      <c r="B12" s="297"/>
      <c r="C12" s="324"/>
      <c r="D12" s="161">
        <v>8</v>
      </c>
      <c r="E12" s="285"/>
      <c r="F12" s="273"/>
      <c r="G12" s="167">
        <v>3657000</v>
      </c>
      <c r="H12" s="285"/>
      <c r="I12" s="31">
        <f>TRUNC((G12/3/2*1),-1)</f>
        <v>609500</v>
      </c>
      <c r="J12" s="18">
        <f>(I12)</f>
        <v>609500</v>
      </c>
      <c r="K12" s="287"/>
      <c r="L12" s="6"/>
      <c r="M12" s="20"/>
    </row>
    <row r="13" spans="1:11" ht="10.5" customHeight="1">
      <c r="A13" s="290"/>
      <c r="B13" s="298"/>
      <c r="C13" s="325"/>
      <c r="D13" s="161" t="s">
        <v>112</v>
      </c>
      <c r="E13" s="285"/>
      <c r="F13" s="274"/>
      <c r="G13" s="167">
        <f>SUM(G11:G12)</f>
        <v>14331000</v>
      </c>
      <c r="H13" s="285"/>
      <c r="I13" s="18">
        <f>SUM(I11:I12)</f>
        <v>2388500</v>
      </c>
      <c r="J13" s="18">
        <f>SUM(J11:J12)</f>
        <v>2388500</v>
      </c>
      <c r="K13" s="288"/>
    </row>
    <row r="14" spans="1:11" ht="13.5" customHeight="1">
      <c r="A14" s="289">
        <v>4</v>
      </c>
      <c r="B14" s="296" t="s">
        <v>123</v>
      </c>
      <c r="C14" s="323" t="s">
        <v>17</v>
      </c>
      <c r="D14" s="161">
        <v>17</v>
      </c>
      <c r="E14" s="285">
        <f>SUM(F14+E94+F94+G94+H94+J94+K94)</f>
        <v>39215120</v>
      </c>
      <c r="F14" s="281">
        <f>SUM(G15,H14,I15,J15,K14,E55,F54,G55,H54,I54,J54,K54)</f>
        <v>33316620</v>
      </c>
      <c r="G14" s="167">
        <v>16188000</v>
      </c>
      <c r="H14" s="286">
        <v>2400000</v>
      </c>
      <c r="I14" s="31">
        <f>TRUNC((G14/12*2),-1)</f>
        <v>2698000</v>
      </c>
      <c r="J14" s="31">
        <f>I14</f>
        <v>2698000</v>
      </c>
      <c r="K14" s="286">
        <v>720000</v>
      </c>
    </row>
    <row r="15" spans="1:11" ht="13.5" customHeight="1">
      <c r="A15" s="290"/>
      <c r="B15" s="298"/>
      <c r="C15" s="325"/>
      <c r="D15" s="161" t="s">
        <v>112</v>
      </c>
      <c r="E15" s="285"/>
      <c r="F15" s="281"/>
      <c r="G15" s="167">
        <f>SUM(G14)</f>
        <v>16188000</v>
      </c>
      <c r="H15" s="288"/>
      <c r="I15" s="31">
        <f>TRUNC((G15/12*2),-1)</f>
        <v>2698000</v>
      </c>
      <c r="J15" s="31">
        <f>I15</f>
        <v>2698000</v>
      </c>
      <c r="K15" s="288"/>
    </row>
    <row r="16" spans="1:11" ht="10.5" customHeight="1">
      <c r="A16" s="292">
        <v>5</v>
      </c>
      <c r="B16" s="299" t="s">
        <v>0</v>
      </c>
      <c r="C16" s="326" t="s">
        <v>1</v>
      </c>
      <c r="D16" s="161">
        <v>4</v>
      </c>
      <c r="E16" s="285">
        <f>SUM(F16+E96+F96+G96+H96+J96+K96)</f>
        <v>29932330</v>
      </c>
      <c r="F16" s="281">
        <f>SUM(G18+H16+I18+J18+K16+E58+F56+G58+H56+I56+J56+K56)</f>
        <v>25430080</v>
      </c>
      <c r="G16" s="167">
        <v>5940000</v>
      </c>
      <c r="H16" s="286">
        <v>2400000</v>
      </c>
      <c r="I16" s="31">
        <f>TRUNC((G16/6),-1)</f>
        <v>990000</v>
      </c>
      <c r="J16" s="18">
        <f>(I16)</f>
        <v>990000</v>
      </c>
      <c r="K16" s="285"/>
    </row>
    <row r="17" spans="1:11" ht="10.5" customHeight="1">
      <c r="A17" s="292"/>
      <c r="B17" s="299"/>
      <c r="C17" s="326"/>
      <c r="D17" s="161">
        <v>5</v>
      </c>
      <c r="E17" s="285"/>
      <c r="F17" s="281"/>
      <c r="G17" s="167">
        <v>6108000</v>
      </c>
      <c r="H17" s="287"/>
      <c r="I17" s="31">
        <f>TRUNC((G17/6),-1)</f>
        <v>1018000</v>
      </c>
      <c r="J17" s="18">
        <f>(I17)</f>
        <v>1018000</v>
      </c>
      <c r="K17" s="285"/>
    </row>
    <row r="18" spans="1:11" ht="10.5" customHeight="1">
      <c r="A18" s="292"/>
      <c r="B18" s="299"/>
      <c r="C18" s="326"/>
      <c r="D18" s="161" t="s">
        <v>112</v>
      </c>
      <c r="E18" s="285"/>
      <c r="F18" s="281"/>
      <c r="G18" s="167">
        <f>(G16+G17)</f>
        <v>12048000</v>
      </c>
      <c r="H18" s="288"/>
      <c r="I18" s="18">
        <f>SUM(I16:I17)</f>
        <v>2008000</v>
      </c>
      <c r="J18" s="18">
        <f>SUM(J16:J17)</f>
        <v>2008000</v>
      </c>
      <c r="K18" s="285"/>
    </row>
    <row r="19" spans="1:11" ht="13.5" customHeight="1">
      <c r="A19" s="300">
        <v>6</v>
      </c>
      <c r="B19" s="293" t="s">
        <v>92</v>
      </c>
      <c r="C19" s="322" t="s">
        <v>124</v>
      </c>
      <c r="D19" s="161">
        <v>8</v>
      </c>
      <c r="E19" s="285">
        <f>SUM(F19+E99+F99+G99+H99+J99+K99)</f>
        <v>33167120</v>
      </c>
      <c r="F19" s="281">
        <f>SUM(G20,H19,I20,J20,K19,E60,F59,G60,H59,I59,J59,K59)</f>
        <v>28178310</v>
      </c>
      <c r="G19" s="167">
        <v>13200000</v>
      </c>
      <c r="H19" s="285">
        <v>2400000</v>
      </c>
      <c r="I19" s="31">
        <f>TRUNC((G19/12*2),-1)</f>
        <v>2200000</v>
      </c>
      <c r="J19" s="18">
        <f>(I19)</f>
        <v>2200000</v>
      </c>
      <c r="K19" s="285">
        <v>480000</v>
      </c>
    </row>
    <row r="20" spans="1:11" ht="14.25" customHeight="1">
      <c r="A20" s="300"/>
      <c r="B20" s="293"/>
      <c r="C20" s="322"/>
      <c r="D20" s="161" t="s">
        <v>112</v>
      </c>
      <c r="E20" s="285"/>
      <c r="F20" s="281"/>
      <c r="G20" s="167">
        <f>(G19:G19)</f>
        <v>13200000</v>
      </c>
      <c r="H20" s="285"/>
      <c r="I20" s="18">
        <f>SUM(I19:I19)</f>
        <v>2200000</v>
      </c>
      <c r="J20" s="18">
        <f>(J19:J19)</f>
        <v>2200000</v>
      </c>
      <c r="K20" s="285"/>
    </row>
    <row r="21" spans="1:11" ht="10.5" customHeight="1">
      <c r="A21" s="289">
        <v>8</v>
      </c>
      <c r="B21" s="296" t="s">
        <v>92</v>
      </c>
      <c r="C21" s="323" t="s">
        <v>134</v>
      </c>
      <c r="D21" s="161">
        <v>6</v>
      </c>
      <c r="E21" s="286">
        <f>SUM(F21+E101+F101+G101+H101+J101+K101)</f>
        <v>31153520</v>
      </c>
      <c r="F21" s="272">
        <f>SUM(G23,H21,I23,J23,K21,E63,F61,G63,H61,I61,J61,K61)</f>
        <v>26467590</v>
      </c>
      <c r="G21" s="167">
        <v>7315000</v>
      </c>
      <c r="H21" s="286">
        <v>1800000</v>
      </c>
      <c r="I21" s="31">
        <f>TRUNC((G21/7/2*3),-1)</f>
        <v>1567500</v>
      </c>
      <c r="J21" s="18">
        <f>(I21)</f>
        <v>1567500</v>
      </c>
      <c r="K21" s="286">
        <v>480000</v>
      </c>
    </row>
    <row r="22" spans="1:11" ht="10.5" customHeight="1">
      <c r="A22" s="295"/>
      <c r="B22" s="297"/>
      <c r="C22" s="324"/>
      <c r="D22" s="161">
        <v>7</v>
      </c>
      <c r="E22" s="287"/>
      <c r="F22" s="273"/>
      <c r="G22" s="167">
        <v>5365000</v>
      </c>
      <c r="H22" s="287"/>
      <c r="I22" s="31">
        <f>TRUNC((G22/5/2*1),-1)</f>
        <v>536500</v>
      </c>
      <c r="J22" s="18">
        <f>(I22)</f>
        <v>536500</v>
      </c>
      <c r="K22" s="287"/>
    </row>
    <row r="23" spans="1:11" ht="10.5" customHeight="1">
      <c r="A23" s="290"/>
      <c r="B23" s="298"/>
      <c r="C23" s="325"/>
      <c r="D23" s="161" t="s">
        <v>112</v>
      </c>
      <c r="E23" s="288"/>
      <c r="F23" s="274"/>
      <c r="G23" s="167">
        <f>SUM(G21:G22)</f>
        <v>12680000</v>
      </c>
      <c r="H23" s="288"/>
      <c r="I23" s="18">
        <f>SUM(I21:I22)</f>
        <v>2104000</v>
      </c>
      <c r="J23" s="18">
        <f>SUM(J21:J22)</f>
        <v>2104000</v>
      </c>
      <c r="K23" s="288"/>
    </row>
    <row r="24" spans="1:11" ht="10.5" customHeight="1">
      <c r="A24" s="300">
        <v>9</v>
      </c>
      <c r="B24" s="293" t="s">
        <v>92</v>
      </c>
      <c r="C24" s="322" t="s">
        <v>135</v>
      </c>
      <c r="D24" s="161">
        <v>2</v>
      </c>
      <c r="E24" s="286">
        <f>SUM(F24+E104+F104+G104+H104+J104+K104)</f>
        <v>26928590</v>
      </c>
      <c r="F24" s="281">
        <f>SUM(G26,H24,I26,J26,K24,E66,F64,G66,H64,I64,J64,K64)</f>
        <v>22878150</v>
      </c>
      <c r="G24" s="166">
        <v>8415000</v>
      </c>
      <c r="H24" s="285">
        <v>1800000</v>
      </c>
      <c r="I24" s="31">
        <f>TRUNC((G24/9/2*3),-1)</f>
        <v>1402500</v>
      </c>
      <c r="J24" s="18">
        <f aca="true" t="shared" si="0" ref="J24:J29">(I24)</f>
        <v>1402500</v>
      </c>
      <c r="K24" s="285"/>
    </row>
    <row r="25" spans="1:11" ht="10.5" customHeight="1">
      <c r="A25" s="300"/>
      <c r="B25" s="293"/>
      <c r="C25" s="322"/>
      <c r="D25" s="161">
        <v>3</v>
      </c>
      <c r="E25" s="287"/>
      <c r="F25" s="281"/>
      <c r="G25" s="166">
        <v>2886000</v>
      </c>
      <c r="H25" s="285"/>
      <c r="I25" s="31">
        <f>TRUNC((G25/3/2*1),-1)</f>
        <v>481000</v>
      </c>
      <c r="J25" s="18">
        <f t="shared" si="0"/>
        <v>481000</v>
      </c>
      <c r="K25" s="285"/>
    </row>
    <row r="26" spans="1:11" ht="10.5" customHeight="1">
      <c r="A26" s="300"/>
      <c r="B26" s="293"/>
      <c r="C26" s="322"/>
      <c r="D26" s="161" t="s">
        <v>112</v>
      </c>
      <c r="E26" s="288"/>
      <c r="F26" s="281"/>
      <c r="G26" s="166">
        <f>SUM(G24:G25)</f>
        <v>11301000</v>
      </c>
      <c r="H26" s="285"/>
      <c r="I26" s="18">
        <f>SUM(I24:I25)</f>
        <v>1883500</v>
      </c>
      <c r="J26" s="18">
        <f t="shared" si="0"/>
        <v>1883500</v>
      </c>
      <c r="K26" s="285"/>
    </row>
    <row r="27" spans="1:11" ht="13.5" customHeight="1">
      <c r="A27" s="300">
        <v>10</v>
      </c>
      <c r="B27" s="299" t="s">
        <v>92</v>
      </c>
      <c r="C27" s="326" t="s">
        <v>95</v>
      </c>
      <c r="D27" s="161">
        <v>9</v>
      </c>
      <c r="E27" s="285">
        <f>SUM(F27+E107+F107+G107+H107+J107+K107)</f>
        <v>34891220</v>
      </c>
      <c r="F27" s="281">
        <f>SUM(G28,H27,I28,J28,K27,E68,F67,G68,H67,I67,J67,K67)</f>
        <v>29643090</v>
      </c>
      <c r="G27" s="167">
        <v>13200000</v>
      </c>
      <c r="H27" s="285">
        <v>2400000</v>
      </c>
      <c r="I27" s="31">
        <f>TRUNC((G27/12*2),-1)</f>
        <v>2200000</v>
      </c>
      <c r="J27" s="18">
        <f t="shared" si="0"/>
        <v>2200000</v>
      </c>
      <c r="K27" s="285">
        <v>480000</v>
      </c>
    </row>
    <row r="28" spans="1:11" ht="13.5" customHeight="1">
      <c r="A28" s="300"/>
      <c r="B28" s="299"/>
      <c r="C28" s="326"/>
      <c r="D28" s="161" t="s">
        <v>112</v>
      </c>
      <c r="E28" s="285"/>
      <c r="F28" s="281"/>
      <c r="G28" s="167">
        <f>(G27)</f>
        <v>13200000</v>
      </c>
      <c r="H28" s="285"/>
      <c r="I28" s="18">
        <f>SUM(I27:I27)</f>
        <v>2200000</v>
      </c>
      <c r="J28" s="18">
        <f t="shared" si="0"/>
        <v>2200000</v>
      </c>
      <c r="K28" s="285"/>
    </row>
    <row r="29" spans="1:11" ht="13.5" customHeight="1">
      <c r="A29" s="300">
        <v>11</v>
      </c>
      <c r="B29" s="293" t="s">
        <v>92</v>
      </c>
      <c r="C29" s="322" t="s">
        <v>2</v>
      </c>
      <c r="D29" s="161">
        <v>4</v>
      </c>
      <c r="E29" s="285">
        <f>SUM(F29+E109+F109+G109+H109+J109+K109)</f>
        <v>29126120</v>
      </c>
      <c r="F29" s="281">
        <f>SUM(G30,H29,I30,J30,K29,E70,F69,G70,H69,I69,J69,K69)</f>
        <v>24745140</v>
      </c>
      <c r="G29" s="167">
        <v>11880000</v>
      </c>
      <c r="H29" s="285">
        <v>1800000</v>
      </c>
      <c r="I29" s="31">
        <f>TRUNC((G29/12*2),-1)</f>
        <v>1980000</v>
      </c>
      <c r="J29" s="18">
        <f t="shared" si="0"/>
        <v>1980000</v>
      </c>
      <c r="K29" s="285"/>
    </row>
    <row r="30" spans="1:11" ht="13.5" customHeight="1">
      <c r="A30" s="300"/>
      <c r="B30" s="293"/>
      <c r="C30" s="322"/>
      <c r="D30" s="161" t="s">
        <v>112</v>
      </c>
      <c r="E30" s="285"/>
      <c r="F30" s="281"/>
      <c r="G30" s="167">
        <f>(G29:G29)</f>
        <v>11880000</v>
      </c>
      <c r="H30" s="285"/>
      <c r="I30" s="18">
        <f>SUM(I29:I29)</f>
        <v>1980000</v>
      </c>
      <c r="J30" s="18">
        <f>(J29:J29)</f>
        <v>1980000</v>
      </c>
      <c r="K30" s="285"/>
    </row>
    <row r="31" spans="1:11" ht="10.5" customHeight="1">
      <c r="A31" s="289">
        <v>7</v>
      </c>
      <c r="B31" s="303" t="s">
        <v>93</v>
      </c>
      <c r="C31" s="327" t="s">
        <v>133</v>
      </c>
      <c r="D31" s="161">
        <v>16</v>
      </c>
      <c r="E31" s="286">
        <f>SUM(F31+E111+F111+G111+H111+J111+K111)</f>
        <v>42656980</v>
      </c>
      <c r="F31" s="281">
        <f>TRUNC(G33+H31+I33+J33+K31+E73+F71+G73+H71+I71+J71+K71)</f>
        <v>36240760</v>
      </c>
      <c r="G31" s="167">
        <v>4464000</v>
      </c>
      <c r="H31" s="286">
        <v>1800000</v>
      </c>
      <c r="I31" s="31">
        <f>TRUNC((G31/3/2*1),-1)</f>
        <v>744000</v>
      </c>
      <c r="J31" s="18">
        <f>(I31)</f>
        <v>744000</v>
      </c>
      <c r="K31" s="286">
        <v>720000</v>
      </c>
    </row>
    <row r="32" spans="1:11" ht="10.5" customHeight="1">
      <c r="A32" s="295"/>
      <c r="B32" s="304"/>
      <c r="C32" s="328"/>
      <c r="D32" s="161">
        <v>17</v>
      </c>
      <c r="E32" s="287"/>
      <c r="F32" s="281"/>
      <c r="G32" s="167">
        <v>13698000</v>
      </c>
      <c r="H32" s="287"/>
      <c r="I32" s="31">
        <f>TRUNC((G32/9/2*3),-1)</f>
        <v>2283000</v>
      </c>
      <c r="J32" s="18">
        <f>(I32)</f>
        <v>2283000</v>
      </c>
      <c r="K32" s="287"/>
    </row>
    <row r="33" spans="1:11" ht="10.5" customHeight="1">
      <c r="A33" s="290"/>
      <c r="B33" s="305"/>
      <c r="C33" s="329"/>
      <c r="D33" s="161" t="s">
        <v>112</v>
      </c>
      <c r="E33" s="288"/>
      <c r="F33" s="281"/>
      <c r="G33" s="167">
        <f>SUM(G31:G32)</f>
        <v>18162000</v>
      </c>
      <c r="H33" s="288"/>
      <c r="I33" s="18">
        <f>SUM(I31:I32)</f>
        <v>3027000</v>
      </c>
      <c r="J33" s="18">
        <f>SUM(J31:J32)</f>
        <v>3027000</v>
      </c>
      <c r="K33" s="288"/>
    </row>
    <row r="34" spans="1:11" ht="10.5" customHeight="1">
      <c r="A34" s="300">
        <v>12</v>
      </c>
      <c r="B34" s="293" t="s">
        <v>113</v>
      </c>
      <c r="C34" s="322" t="s">
        <v>104</v>
      </c>
      <c r="D34" s="161">
        <v>8</v>
      </c>
      <c r="E34" s="286">
        <f>SUM(F34+E114+F114+G114+H114+J114+K114)</f>
        <v>32199420</v>
      </c>
      <c r="F34" s="281">
        <f>TRUNC(G36+H34+I36+J36+K34+E76+F74+G76+H74+I74+J74+K74)</f>
        <v>27356180</v>
      </c>
      <c r="G34" s="167">
        <v>5964000</v>
      </c>
      <c r="H34" s="285">
        <v>2400000</v>
      </c>
      <c r="I34" s="31">
        <f>TRUNC((G34/6),-1)</f>
        <v>994000</v>
      </c>
      <c r="J34" s="18">
        <f>(I34)</f>
        <v>994000</v>
      </c>
      <c r="K34" s="286">
        <v>480000</v>
      </c>
    </row>
    <row r="35" spans="1:11" ht="10.5" customHeight="1">
      <c r="A35" s="300"/>
      <c r="B35" s="293"/>
      <c r="C35" s="322"/>
      <c r="D35" s="161">
        <v>9</v>
      </c>
      <c r="E35" s="287"/>
      <c r="F35" s="281"/>
      <c r="G35" s="167">
        <v>6132000</v>
      </c>
      <c r="H35" s="285"/>
      <c r="I35" s="31">
        <f>TRUNC((G35/6),-1)</f>
        <v>1022000</v>
      </c>
      <c r="J35" s="18">
        <f>(I35)</f>
        <v>1022000</v>
      </c>
      <c r="K35" s="287"/>
    </row>
    <row r="36" spans="1:11" ht="10.5" customHeight="1">
      <c r="A36" s="300"/>
      <c r="B36" s="293"/>
      <c r="C36" s="322"/>
      <c r="D36" s="161" t="s">
        <v>112</v>
      </c>
      <c r="E36" s="288"/>
      <c r="F36" s="281"/>
      <c r="G36" s="167">
        <f>SUM(G34:G35)</f>
        <v>12096000</v>
      </c>
      <c r="H36" s="285"/>
      <c r="I36" s="18">
        <f>SUM(I34:I35)</f>
        <v>2016000</v>
      </c>
      <c r="J36" s="18">
        <f>(J34+J35)</f>
        <v>2016000</v>
      </c>
      <c r="K36" s="288"/>
    </row>
    <row r="37" spans="1:11" ht="10.5" customHeight="1">
      <c r="A37" s="300">
        <v>13</v>
      </c>
      <c r="B37" s="293" t="s">
        <v>113</v>
      </c>
      <c r="C37" s="322" t="s">
        <v>101</v>
      </c>
      <c r="D37" s="161">
        <v>8</v>
      </c>
      <c r="E37" s="286">
        <f>SUM(F37+E117+F117+G117+H117+J117+K117)</f>
        <v>32199420</v>
      </c>
      <c r="F37" s="281">
        <f>TRUNC(G39+H37+I39+J39+K37+E79+F77+G79+H77+I77+J77+K77)</f>
        <v>27356180</v>
      </c>
      <c r="G37" s="167">
        <v>5964000</v>
      </c>
      <c r="H37" s="285">
        <v>2400000</v>
      </c>
      <c r="I37" s="31">
        <f>TRUNC((G37/6),-1)</f>
        <v>994000</v>
      </c>
      <c r="J37" s="18">
        <f>(I37)</f>
        <v>994000</v>
      </c>
      <c r="K37" s="286">
        <v>480000</v>
      </c>
    </row>
    <row r="38" spans="1:11" ht="10.5" customHeight="1">
      <c r="A38" s="300"/>
      <c r="B38" s="293"/>
      <c r="C38" s="322"/>
      <c r="D38" s="161">
        <v>9</v>
      </c>
      <c r="E38" s="287"/>
      <c r="F38" s="281"/>
      <c r="G38" s="167">
        <v>6132000</v>
      </c>
      <c r="H38" s="285"/>
      <c r="I38" s="31">
        <f>TRUNC((G38/6),-1)</f>
        <v>1022000</v>
      </c>
      <c r="J38" s="18">
        <f>(I38)</f>
        <v>1022000</v>
      </c>
      <c r="K38" s="287"/>
    </row>
    <row r="39" spans="1:11" ht="10.5" customHeight="1">
      <c r="A39" s="300"/>
      <c r="B39" s="293"/>
      <c r="C39" s="322"/>
      <c r="D39" s="161" t="s">
        <v>112</v>
      </c>
      <c r="E39" s="288"/>
      <c r="F39" s="281"/>
      <c r="G39" s="167">
        <f>(G37+G38)</f>
        <v>12096000</v>
      </c>
      <c r="H39" s="285"/>
      <c r="I39" s="18">
        <f>SUM(I37:I38)</f>
        <v>2016000</v>
      </c>
      <c r="J39" s="18">
        <f>(J37+J38)</f>
        <v>2016000</v>
      </c>
      <c r="K39" s="288"/>
    </row>
    <row r="40" spans="1:11" ht="10.5" customHeight="1">
      <c r="A40" s="300">
        <v>14</v>
      </c>
      <c r="B40" s="293" t="s">
        <v>114</v>
      </c>
      <c r="C40" s="322" t="s">
        <v>136</v>
      </c>
      <c r="D40" s="161">
        <v>3</v>
      </c>
      <c r="E40" s="286">
        <f>SUM(F40+E120+F120+G120+H120+J120+K120)</f>
        <v>25823680</v>
      </c>
      <c r="F40" s="281">
        <f>TRUNC(G42+H40+I42+J42+K40+E82+F80+G82+H80+I80+J80+K80)</f>
        <v>21939450</v>
      </c>
      <c r="G40" s="167">
        <v>5094000</v>
      </c>
      <c r="H40" s="285">
        <v>1800000</v>
      </c>
      <c r="I40" s="31">
        <f>TRUNC((G40/6),-1)</f>
        <v>849000</v>
      </c>
      <c r="J40" s="18">
        <f>(I40)</f>
        <v>849000</v>
      </c>
      <c r="K40" s="287"/>
    </row>
    <row r="41" spans="1:11" ht="10.5" customHeight="1">
      <c r="A41" s="300"/>
      <c r="B41" s="293"/>
      <c r="C41" s="322"/>
      <c r="D41" s="161">
        <v>4</v>
      </c>
      <c r="E41" s="287"/>
      <c r="F41" s="281"/>
      <c r="G41" s="167">
        <v>5268000</v>
      </c>
      <c r="H41" s="285"/>
      <c r="I41" s="31">
        <f>TRUNC((G41/6),-1)</f>
        <v>878000</v>
      </c>
      <c r="J41" s="18">
        <f>(I41)</f>
        <v>878000</v>
      </c>
      <c r="K41" s="287"/>
    </row>
    <row r="42" spans="1:11" ht="10.5" customHeight="1">
      <c r="A42" s="300"/>
      <c r="B42" s="293"/>
      <c r="C42" s="322"/>
      <c r="D42" s="161" t="s">
        <v>112</v>
      </c>
      <c r="E42" s="288"/>
      <c r="F42" s="281"/>
      <c r="G42" s="167">
        <f>(G40+G41)</f>
        <v>10362000</v>
      </c>
      <c r="H42" s="285"/>
      <c r="I42" s="18">
        <f>SUM(I40:I41)</f>
        <v>1727000</v>
      </c>
      <c r="J42" s="18">
        <f>(J40+J41)</f>
        <v>1727000</v>
      </c>
      <c r="K42" s="288"/>
    </row>
    <row r="43" spans="1:16" s="19" customFormat="1" ht="51.75" customHeight="1">
      <c r="A43" s="301" t="s">
        <v>115</v>
      </c>
      <c r="B43" s="301"/>
      <c r="C43" s="301"/>
      <c r="D43" s="301"/>
      <c r="E43" s="28">
        <f>SUM(E5:E42)</f>
        <v>471329940</v>
      </c>
      <c r="F43" s="50">
        <f>SUM(F5:F42)</f>
        <v>400435250</v>
      </c>
      <c r="G43" s="168">
        <f>SUM(G7+G10+G13+G15+G18+G20+G23+G26+G28+G30+G33+G36+G39+G42)</f>
        <v>194484000</v>
      </c>
      <c r="H43" s="50">
        <f>SUM(H5:H42)</f>
        <v>29400000</v>
      </c>
      <c r="I43" s="50">
        <f>SUM(I7,,I10,I13,I15,I18,I20,,I23,I26,I28,I30+I33,I36,I39,I42)</f>
        <v>32404660</v>
      </c>
      <c r="J43" s="50">
        <f>SUM(J7,,J10,J13,J15,J18,J20,,J23,J26,J28,J30+J33,J36,J39,J42)</f>
        <v>32404660</v>
      </c>
      <c r="K43" s="50">
        <f>SUM(K5:K42)</f>
        <v>5400000</v>
      </c>
      <c r="M43" s="112"/>
      <c r="P43"/>
    </row>
    <row r="44" spans="1:18" s="4" customFormat="1" ht="19.5" customHeight="1">
      <c r="A44" s="106" t="s">
        <v>84</v>
      </c>
      <c r="B44" s="106" t="s">
        <v>96</v>
      </c>
      <c r="C44" s="107" t="s">
        <v>109</v>
      </c>
      <c r="D44" s="108" t="s">
        <v>85</v>
      </c>
      <c r="E44" s="32" t="s">
        <v>89</v>
      </c>
      <c r="F44" s="32" t="s">
        <v>116</v>
      </c>
      <c r="G44" s="32" t="s">
        <v>90</v>
      </c>
      <c r="H44" s="32" t="s">
        <v>102</v>
      </c>
      <c r="I44" s="32" t="s">
        <v>105</v>
      </c>
      <c r="J44" s="32" t="s">
        <v>106</v>
      </c>
      <c r="K44" s="32" t="s">
        <v>120</v>
      </c>
      <c r="M44" s="113"/>
      <c r="N44"/>
      <c r="O44"/>
      <c r="P44"/>
      <c r="Q44"/>
      <c r="R44"/>
    </row>
    <row r="45" spans="1:18" ht="10.5" customHeight="1">
      <c r="A45" s="292">
        <v>1</v>
      </c>
      <c r="B45" s="293" t="s">
        <v>91</v>
      </c>
      <c r="C45" s="294" t="s">
        <v>130</v>
      </c>
      <c r="D45" s="164">
        <v>8</v>
      </c>
      <c r="E45" s="31">
        <f>TRUNC((G5/3*85%),-1)</f>
        <v>1263100</v>
      </c>
      <c r="F45" s="285">
        <v>660000</v>
      </c>
      <c r="G45" s="31">
        <f>TRUNC((G5/3*1/2),-1)</f>
        <v>743000</v>
      </c>
      <c r="H45" s="285">
        <v>1320000</v>
      </c>
      <c r="I45" s="302">
        <v>0</v>
      </c>
      <c r="J45" s="285">
        <v>0</v>
      </c>
      <c r="K45" s="285">
        <v>480000</v>
      </c>
      <c r="N45" s="4"/>
      <c r="O45" s="4"/>
      <c r="Q45" s="4"/>
      <c r="R45" s="4"/>
    </row>
    <row r="46" spans="1:18" ht="10.5" customHeight="1">
      <c r="A46" s="292"/>
      <c r="B46" s="293"/>
      <c r="C46" s="294"/>
      <c r="D46" s="164">
        <v>9</v>
      </c>
      <c r="E46" s="31">
        <v>0</v>
      </c>
      <c r="F46" s="285"/>
      <c r="G46" s="31">
        <f>TRUNC((G6/9*1/2),-1)</f>
        <v>845550</v>
      </c>
      <c r="H46" s="285"/>
      <c r="I46" s="302"/>
      <c r="J46" s="285"/>
      <c r="K46" s="285"/>
      <c r="N46" s="4"/>
      <c r="O46" s="4"/>
      <c r="Q46" s="4"/>
      <c r="R46" s="4"/>
    </row>
    <row r="47" spans="1:16" ht="10.5" customHeight="1">
      <c r="A47" s="292"/>
      <c r="B47" s="293"/>
      <c r="C47" s="294"/>
      <c r="D47" s="164" t="s">
        <v>112</v>
      </c>
      <c r="E47" s="18">
        <f>SUM(E45:E46)</f>
        <v>1263100</v>
      </c>
      <c r="F47" s="285"/>
      <c r="G47" s="18">
        <f>SUM(G45:G46)</f>
        <v>1588550</v>
      </c>
      <c r="H47" s="285"/>
      <c r="I47" s="302"/>
      <c r="J47" s="285"/>
      <c r="K47" s="285"/>
      <c r="P47" s="19"/>
    </row>
    <row r="48" spans="1:11" ht="10.5" customHeight="1">
      <c r="A48" s="289">
        <v>2</v>
      </c>
      <c r="B48" s="293" t="s">
        <v>16</v>
      </c>
      <c r="C48" s="303" t="s">
        <v>60</v>
      </c>
      <c r="D48" s="164">
        <v>12</v>
      </c>
      <c r="E48" s="31">
        <f>TRUNC((G8/6*100%*1),-1)</f>
        <v>1421000</v>
      </c>
      <c r="F48" s="285">
        <v>660000</v>
      </c>
      <c r="G48" s="31">
        <f>TRUNC((G8/6/2),-1)</f>
        <v>710500</v>
      </c>
      <c r="H48" s="272">
        <v>1320000</v>
      </c>
      <c r="I48" s="302">
        <f>TRUNC(((G10+F45+J48)*1/226*1.5)*16,-1)</f>
        <v>1928700</v>
      </c>
      <c r="J48" s="278">
        <v>240000</v>
      </c>
      <c r="K48" s="278"/>
    </row>
    <row r="49" spans="1:16" ht="10.5" customHeight="1">
      <c r="A49" s="295"/>
      <c r="B49" s="293"/>
      <c r="C49" s="304"/>
      <c r="D49" s="164">
        <v>13</v>
      </c>
      <c r="E49" s="31">
        <f>TRUNC((G9/6*100%*1),-1)</f>
        <v>1456000</v>
      </c>
      <c r="F49" s="285"/>
      <c r="G49" s="31">
        <f>TRUNC((G9/6/2),-1)</f>
        <v>728000</v>
      </c>
      <c r="H49" s="273"/>
      <c r="I49" s="302"/>
      <c r="J49" s="279"/>
      <c r="K49" s="279"/>
      <c r="P49" s="47"/>
    </row>
    <row r="50" spans="1:11" ht="10.5" customHeight="1">
      <c r="A50" s="290"/>
      <c r="B50" s="293"/>
      <c r="C50" s="305"/>
      <c r="D50" s="164" t="s">
        <v>112</v>
      </c>
      <c r="E50" s="18">
        <f>SUM(E48:E49)</f>
        <v>2877000</v>
      </c>
      <c r="F50" s="285"/>
      <c r="G50" s="31">
        <f>TRUNC((G10/12),-1)</f>
        <v>1438500</v>
      </c>
      <c r="H50" s="274"/>
      <c r="I50" s="302"/>
      <c r="J50" s="280"/>
      <c r="K50" s="280"/>
    </row>
    <row r="51" spans="1:11" ht="10.5" customHeight="1">
      <c r="A51" s="289">
        <v>3</v>
      </c>
      <c r="B51" s="296" t="s">
        <v>131</v>
      </c>
      <c r="C51" s="282" t="s">
        <v>132</v>
      </c>
      <c r="D51" s="164">
        <v>7</v>
      </c>
      <c r="E51" s="31">
        <f>TRUNC((G11/9*80%*2),-1)</f>
        <v>1897600</v>
      </c>
      <c r="F51" s="272">
        <v>660000</v>
      </c>
      <c r="G51" s="49">
        <f>TRUNC((G11/9/2*2),-1)</f>
        <v>1186000</v>
      </c>
      <c r="H51" s="272">
        <v>1320000</v>
      </c>
      <c r="I51" s="275">
        <f>TRUNC(((G13+F51+J51)*1/226*1.5)*16,-1)</f>
        <v>1642930</v>
      </c>
      <c r="J51" s="278">
        <v>480000</v>
      </c>
      <c r="K51" s="278"/>
    </row>
    <row r="52" spans="1:11" ht="10.5" customHeight="1">
      <c r="A52" s="295"/>
      <c r="B52" s="297"/>
      <c r="C52" s="283"/>
      <c r="D52" s="164">
        <v>8</v>
      </c>
      <c r="E52" s="31"/>
      <c r="F52" s="273"/>
      <c r="G52" s="49"/>
      <c r="H52" s="273"/>
      <c r="I52" s="276"/>
      <c r="J52" s="279"/>
      <c r="K52" s="279"/>
    </row>
    <row r="53" spans="1:11" ht="10.5" customHeight="1">
      <c r="A53" s="290"/>
      <c r="B53" s="298"/>
      <c r="C53" s="284"/>
      <c r="D53" s="164" t="s">
        <v>112</v>
      </c>
      <c r="E53" s="31">
        <f>SUM(E51:E52)</f>
        <v>1897600</v>
      </c>
      <c r="F53" s="274"/>
      <c r="G53" s="48">
        <f>SUM(G51:G52)</f>
        <v>1186000</v>
      </c>
      <c r="H53" s="274"/>
      <c r="I53" s="277"/>
      <c r="J53" s="280"/>
      <c r="K53" s="280"/>
    </row>
    <row r="54" spans="1:11" ht="13.5" customHeight="1">
      <c r="A54" s="289">
        <v>4</v>
      </c>
      <c r="B54" s="296" t="s">
        <v>123</v>
      </c>
      <c r="C54" s="282" t="s">
        <v>17</v>
      </c>
      <c r="D54" s="164">
        <v>17</v>
      </c>
      <c r="E54" s="31">
        <f>TRUNC((G14/12*100%*2),-1)</f>
        <v>2698000</v>
      </c>
      <c r="F54" s="272">
        <v>660000</v>
      </c>
      <c r="G54" s="31">
        <f>TRUNC((G14/12),-1)</f>
        <v>1349000</v>
      </c>
      <c r="H54" s="272">
        <v>1320000</v>
      </c>
      <c r="I54" s="302">
        <f>TRUNC(((G15+F54+J54)*1/226*1.5)*16,-1)</f>
        <v>1865620</v>
      </c>
      <c r="J54" s="278">
        <v>720000</v>
      </c>
      <c r="K54" s="278"/>
    </row>
    <row r="55" spans="1:11" ht="13.5" customHeight="1">
      <c r="A55" s="290"/>
      <c r="B55" s="298"/>
      <c r="C55" s="284"/>
      <c r="D55" s="164" t="s">
        <v>112</v>
      </c>
      <c r="E55" s="31">
        <f>TRUNC((G15/12*100%*2),-1)</f>
        <v>2698000</v>
      </c>
      <c r="F55" s="274"/>
      <c r="G55" s="31">
        <f>TRUNC((G15/12),-1)</f>
        <v>1349000</v>
      </c>
      <c r="H55" s="274"/>
      <c r="I55" s="302"/>
      <c r="J55" s="280"/>
      <c r="K55" s="280"/>
    </row>
    <row r="56" spans="1:11" ht="13.5" customHeight="1">
      <c r="A56" s="292">
        <v>5</v>
      </c>
      <c r="B56" s="299" t="s">
        <v>92</v>
      </c>
      <c r="C56" s="299" t="s">
        <v>1</v>
      </c>
      <c r="D56" s="164">
        <v>4</v>
      </c>
      <c r="E56" s="31">
        <f>TRUNC((G16/6*65%),-1)</f>
        <v>643500</v>
      </c>
      <c r="F56" s="285">
        <v>660000</v>
      </c>
      <c r="G56" s="18">
        <f>TRUNC((G16/6*50%),-1)</f>
        <v>495000</v>
      </c>
      <c r="H56" s="285">
        <v>1320000</v>
      </c>
      <c r="I56" s="302">
        <f>TRUNC(((G18+F54+J56)*1/226*1.5)*16,-1)</f>
        <v>1425980</v>
      </c>
      <c r="J56" s="302">
        <v>720000</v>
      </c>
      <c r="K56" s="302">
        <v>480000</v>
      </c>
    </row>
    <row r="57" spans="1:11" ht="13.5" customHeight="1">
      <c r="A57" s="292"/>
      <c r="B57" s="299"/>
      <c r="C57" s="299"/>
      <c r="D57" s="164">
        <v>5</v>
      </c>
      <c r="E57" s="31">
        <f>TRUNC((G17/6*70%),-1)</f>
        <v>712600</v>
      </c>
      <c r="F57" s="285"/>
      <c r="G57" s="18">
        <f>TRUNC((G17/6*50%),-1)</f>
        <v>509000</v>
      </c>
      <c r="H57" s="285"/>
      <c r="I57" s="302"/>
      <c r="J57" s="302"/>
      <c r="K57" s="302"/>
    </row>
    <row r="58" spans="1:11" ht="13.5" customHeight="1">
      <c r="A58" s="292"/>
      <c r="B58" s="299"/>
      <c r="C58" s="299"/>
      <c r="D58" s="164" t="s">
        <v>112</v>
      </c>
      <c r="E58" s="18">
        <f>SUM(E56:E57)</f>
        <v>1356100</v>
      </c>
      <c r="F58" s="285"/>
      <c r="G58" s="18">
        <f>SUM(G56:G57)</f>
        <v>1004000</v>
      </c>
      <c r="H58" s="285"/>
      <c r="I58" s="302"/>
      <c r="J58" s="302"/>
      <c r="K58" s="302"/>
    </row>
    <row r="59" spans="1:11" ht="13.5" customHeight="1">
      <c r="A59" s="300">
        <v>6</v>
      </c>
      <c r="B59" s="293" t="s">
        <v>92</v>
      </c>
      <c r="C59" s="294" t="s">
        <v>124</v>
      </c>
      <c r="D59" s="164">
        <v>8</v>
      </c>
      <c r="E59" s="31">
        <f>TRUNC((G19/12*85%*2),-1)</f>
        <v>1870000</v>
      </c>
      <c r="F59" s="285">
        <v>660000</v>
      </c>
      <c r="G59" s="31">
        <f>TRUNC((G19/12),-1)</f>
        <v>1100000</v>
      </c>
      <c r="H59" s="285">
        <v>1320000</v>
      </c>
      <c r="I59" s="302">
        <f>TRUNC(((G20+F59+J59)*1/226*1.5)*16,-1)</f>
        <v>1548310</v>
      </c>
      <c r="J59" s="302">
        <v>720000</v>
      </c>
      <c r="K59" s="302">
        <v>480000</v>
      </c>
    </row>
    <row r="60" spans="1:11" ht="13.5" customHeight="1">
      <c r="A60" s="300"/>
      <c r="B60" s="293"/>
      <c r="C60" s="294"/>
      <c r="D60" s="164" t="s">
        <v>112</v>
      </c>
      <c r="E60" s="18">
        <f>(E59:E59)</f>
        <v>1870000</v>
      </c>
      <c r="F60" s="285"/>
      <c r="G60" s="18">
        <f>SUM(G59:G59)</f>
        <v>1100000</v>
      </c>
      <c r="H60" s="285"/>
      <c r="I60" s="302"/>
      <c r="J60" s="302"/>
      <c r="K60" s="302"/>
    </row>
    <row r="61" spans="1:11" ht="10.5" customHeight="1">
      <c r="A61" s="292">
        <v>8</v>
      </c>
      <c r="B61" s="300" t="s">
        <v>92</v>
      </c>
      <c r="C61" s="299" t="s">
        <v>134</v>
      </c>
      <c r="D61" s="164">
        <v>6</v>
      </c>
      <c r="E61" s="31">
        <f>TRUNC((G21/7*75%*2),-1)</f>
        <v>1567500</v>
      </c>
      <c r="F61" s="285">
        <v>660000</v>
      </c>
      <c r="G61" s="31">
        <f>TRUNC((G21/7/2),-1)</f>
        <v>522500</v>
      </c>
      <c r="H61" s="285">
        <v>1320000</v>
      </c>
      <c r="I61" s="302">
        <f>TRUNC(((G23+F61+J61)*1/226*1.5)*16,-1)</f>
        <v>1493090</v>
      </c>
      <c r="J61" s="275">
        <v>720000</v>
      </c>
      <c r="K61" s="302">
        <v>480000</v>
      </c>
    </row>
    <row r="62" spans="1:11" ht="10.5" customHeight="1">
      <c r="A62" s="292"/>
      <c r="B62" s="300"/>
      <c r="C62" s="299"/>
      <c r="D62" s="164">
        <v>7</v>
      </c>
      <c r="E62" s="31"/>
      <c r="F62" s="285"/>
      <c r="G62" s="31">
        <f>TRUNC((G22/5/2),-1)</f>
        <v>536500</v>
      </c>
      <c r="H62" s="285"/>
      <c r="I62" s="302"/>
      <c r="J62" s="276"/>
      <c r="K62" s="302"/>
    </row>
    <row r="63" spans="1:11" ht="10.5" customHeight="1">
      <c r="A63" s="292"/>
      <c r="B63" s="300"/>
      <c r="C63" s="299"/>
      <c r="D63" s="164" t="s">
        <v>112</v>
      </c>
      <c r="E63" s="18">
        <f>SUM(E61:E62)</f>
        <v>1567500</v>
      </c>
      <c r="F63" s="285"/>
      <c r="G63" s="18">
        <f>SUM(G61:G62)</f>
        <v>1059000</v>
      </c>
      <c r="H63" s="285"/>
      <c r="I63" s="302"/>
      <c r="J63" s="277"/>
      <c r="K63" s="302"/>
    </row>
    <row r="64" spans="1:11" ht="10.5" customHeight="1">
      <c r="A64" s="300">
        <v>9</v>
      </c>
      <c r="B64" s="293" t="s">
        <v>92</v>
      </c>
      <c r="C64" s="294" t="s">
        <v>135</v>
      </c>
      <c r="D64" s="164">
        <v>2</v>
      </c>
      <c r="E64" s="31">
        <f>TRUNC((G24/9*55%*2),-1)</f>
        <v>1028500</v>
      </c>
      <c r="F64" s="285">
        <v>660000</v>
      </c>
      <c r="G64" s="31">
        <f>TRUNC((G24/9),-1)</f>
        <v>935000</v>
      </c>
      <c r="H64" s="285">
        <v>1320000</v>
      </c>
      <c r="I64" s="302">
        <f>TRUNC(((G26+F64+J64)*1/226*1.5)*16,-1)</f>
        <v>1346650</v>
      </c>
      <c r="J64" s="275">
        <v>720000</v>
      </c>
      <c r="K64" s="302"/>
    </row>
    <row r="65" spans="1:11" ht="10.5" customHeight="1">
      <c r="A65" s="300"/>
      <c r="B65" s="293"/>
      <c r="C65" s="294"/>
      <c r="D65" s="164">
        <v>3</v>
      </c>
      <c r="E65" s="31"/>
      <c r="F65" s="285"/>
      <c r="G65" s="31">
        <v>0</v>
      </c>
      <c r="H65" s="285"/>
      <c r="I65" s="302"/>
      <c r="J65" s="276"/>
      <c r="K65" s="302"/>
    </row>
    <row r="66" spans="1:11" ht="10.5" customHeight="1">
      <c r="A66" s="300"/>
      <c r="B66" s="293"/>
      <c r="C66" s="294"/>
      <c r="D66" s="164" t="s">
        <v>112</v>
      </c>
      <c r="E66" s="18">
        <f>(E64)</f>
        <v>1028500</v>
      </c>
      <c r="F66" s="285"/>
      <c r="G66" s="18">
        <f>SUM(G64:G64)</f>
        <v>935000</v>
      </c>
      <c r="H66" s="285"/>
      <c r="I66" s="302"/>
      <c r="J66" s="277"/>
      <c r="K66" s="302"/>
    </row>
    <row r="67" spans="1:11" ht="13.5" customHeight="1">
      <c r="A67" s="300">
        <v>10</v>
      </c>
      <c r="B67" s="299" t="s">
        <v>92</v>
      </c>
      <c r="C67" s="299" t="s">
        <v>95</v>
      </c>
      <c r="D67" s="164">
        <v>9</v>
      </c>
      <c r="E67" s="31">
        <f>TRUNC((G27/12*90%*2),-1)</f>
        <v>1980000</v>
      </c>
      <c r="F67" s="285">
        <v>660000</v>
      </c>
      <c r="G67" s="31">
        <f>TRUNC((G27/12),-1)</f>
        <v>1100000</v>
      </c>
      <c r="H67" s="285">
        <v>1320000</v>
      </c>
      <c r="I67" s="302">
        <f>TRUNC(((G28+F61+J67)*1/226*1.5)*30,-1)</f>
        <v>2903090</v>
      </c>
      <c r="J67" s="302">
        <v>720000</v>
      </c>
      <c r="K67" s="302">
        <v>480000</v>
      </c>
    </row>
    <row r="68" spans="1:11" ht="13.5" customHeight="1">
      <c r="A68" s="300"/>
      <c r="B68" s="299"/>
      <c r="C68" s="299"/>
      <c r="D68" s="164" t="s">
        <v>112</v>
      </c>
      <c r="E68" s="18">
        <f>(E67)</f>
        <v>1980000</v>
      </c>
      <c r="F68" s="285"/>
      <c r="G68" s="18">
        <f>SUM(G67:G67)</f>
        <v>1100000</v>
      </c>
      <c r="H68" s="285"/>
      <c r="I68" s="302"/>
      <c r="J68" s="302"/>
      <c r="K68" s="302"/>
    </row>
    <row r="69" spans="1:11" ht="13.5" customHeight="1">
      <c r="A69" s="300">
        <v>11</v>
      </c>
      <c r="B69" s="293" t="s">
        <v>92</v>
      </c>
      <c r="C69" s="294" t="s">
        <v>2</v>
      </c>
      <c r="D69" s="164">
        <v>4</v>
      </c>
      <c r="E69" s="31">
        <f>TRUNC((G29/12*65%*2),-1)</f>
        <v>1287000</v>
      </c>
      <c r="F69" s="285">
        <v>660000</v>
      </c>
      <c r="G69" s="31">
        <f>TRUNC((G29/12),-1)</f>
        <v>990000</v>
      </c>
      <c r="H69" s="285">
        <v>1320000</v>
      </c>
      <c r="I69" s="302">
        <f>TRUNC(((G30+F69+J69)*1/226*1.5)*16,-1)</f>
        <v>1408140</v>
      </c>
      <c r="J69" s="302">
        <v>720000</v>
      </c>
      <c r="K69" s="302">
        <v>720000</v>
      </c>
    </row>
    <row r="70" spans="1:11" ht="13.5" customHeight="1">
      <c r="A70" s="300"/>
      <c r="B70" s="293"/>
      <c r="C70" s="294"/>
      <c r="D70" s="164" t="s">
        <v>112</v>
      </c>
      <c r="E70" s="18">
        <f>(E69:E69)</f>
        <v>1287000</v>
      </c>
      <c r="F70" s="285"/>
      <c r="G70" s="18">
        <f>SUM(G69:G69)</f>
        <v>990000</v>
      </c>
      <c r="H70" s="285"/>
      <c r="I70" s="302"/>
      <c r="J70" s="302"/>
      <c r="K70" s="302"/>
    </row>
    <row r="71" spans="1:11" ht="10.5" customHeight="1">
      <c r="A71" s="292">
        <v>7</v>
      </c>
      <c r="B71" s="294" t="s">
        <v>93</v>
      </c>
      <c r="C71" s="294" t="s">
        <v>133</v>
      </c>
      <c r="D71" s="164">
        <v>16</v>
      </c>
      <c r="E71" s="31">
        <f>TRUNC((G31/3*100%*1),-1)</f>
        <v>1488000</v>
      </c>
      <c r="F71" s="285">
        <v>660000</v>
      </c>
      <c r="G71" s="31">
        <f>TRUNC((G31/3/2),-1)</f>
        <v>744000</v>
      </c>
      <c r="H71" s="285">
        <v>1320000</v>
      </c>
      <c r="I71" s="302">
        <f>TRUNC(((G33+F71+J71)*1/226*1.5)*16,-1)</f>
        <v>2049760</v>
      </c>
      <c r="J71" s="302">
        <v>480000</v>
      </c>
      <c r="K71" s="302">
        <v>480000</v>
      </c>
    </row>
    <row r="72" spans="1:11" ht="10.5" customHeight="1">
      <c r="A72" s="292"/>
      <c r="B72" s="294"/>
      <c r="C72" s="294"/>
      <c r="D72" s="164">
        <v>17</v>
      </c>
      <c r="E72" s="31">
        <f>TRUNC((G32/9*100%*1),-1)</f>
        <v>1522000</v>
      </c>
      <c r="F72" s="285"/>
      <c r="G72" s="31">
        <f>TRUNC((G32/9/2),-1)</f>
        <v>761000</v>
      </c>
      <c r="H72" s="285"/>
      <c r="I72" s="302"/>
      <c r="J72" s="302"/>
      <c r="K72" s="302"/>
    </row>
    <row r="73" spans="1:11" ht="10.5" customHeight="1">
      <c r="A73" s="292"/>
      <c r="B73" s="293"/>
      <c r="C73" s="294"/>
      <c r="D73" s="164" t="s">
        <v>112</v>
      </c>
      <c r="E73" s="18">
        <f>SUM(E71:E72)</f>
        <v>3010000</v>
      </c>
      <c r="F73" s="285"/>
      <c r="G73" s="18">
        <f>SUM(G71:G72)</f>
        <v>1505000</v>
      </c>
      <c r="H73" s="285"/>
      <c r="I73" s="302"/>
      <c r="J73" s="302"/>
      <c r="K73" s="302"/>
    </row>
    <row r="74" spans="1:11" ht="10.5" customHeight="1">
      <c r="A74" s="300">
        <v>12</v>
      </c>
      <c r="B74" s="293" t="s">
        <v>113</v>
      </c>
      <c r="C74" s="294" t="s">
        <v>104</v>
      </c>
      <c r="D74" s="164">
        <v>8</v>
      </c>
      <c r="E74" s="31">
        <f>TRUNC((G34/6*85%),-1)</f>
        <v>844900</v>
      </c>
      <c r="F74" s="285">
        <v>660000</v>
      </c>
      <c r="G74" s="18">
        <f>TRUNC((G34/6/2),-1)</f>
        <v>497000</v>
      </c>
      <c r="H74" s="285">
        <v>1320000</v>
      </c>
      <c r="I74" s="302">
        <f>TRUNC(((G36+F69+J74)*1/226*1.5)*30,-1)</f>
        <v>2635480</v>
      </c>
      <c r="J74" s="302">
        <v>480000</v>
      </c>
      <c r="K74" s="302">
        <v>480000</v>
      </c>
    </row>
    <row r="75" spans="1:11" ht="10.5" customHeight="1">
      <c r="A75" s="300"/>
      <c r="B75" s="293"/>
      <c r="C75" s="294"/>
      <c r="D75" s="164">
        <v>9</v>
      </c>
      <c r="E75" s="31">
        <f>TRUNC((G35/6*90%),-1)</f>
        <v>919800</v>
      </c>
      <c r="F75" s="285"/>
      <c r="G75" s="18">
        <f>TRUNC((G35/6/2),-1)</f>
        <v>511000</v>
      </c>
      <c r="H75" s="285"/>
      <c r="I75" s="302"/>
      <c r="J75" s="302"/>
      <c r="K75" s="302"/>
    </row>
    <row r="76" spans="1:11" ht="10.5" customHeight="1">
      <c r="A76" s="300"/>
      <c r="B76" s="293"/>
      <c r="C76" s="294"/>
      <c r="D76" s="164" t="s">
        <v>112</v>
      </c>
      <c r="E76" s="18">
        <f>SUM(E74:E75)</f>
        <v>1764700</v>
      </c>
      <c r="F76" s="285"/>
      <c r="G76" s="18">
        <f>SUM(G74:G75)</f>
        <v>1008000</v>
      </c>
      <c r="H76" s="285"/>
      <c r="I76" s="302"/>
      <c r="J76" s="302"/>
      <c r="K76" s="302"/>
    </row>
    <row r="77" spans="1:11" ht="10.5" customHeight="1">
      <c r="A77" s="300">
        <v>13</v>
      </c>
      <c r="B77" s="293" t="s">
        <v>113</v>
      </c>
      <c r="C77" s="294" t="s">
        <v>101</v>
      </c>
      <c r="D77" s="164">
        <v>8</v>
      </c>
      <c r="E77" s="31">
        <f>TRUNC((G37/6*85%),-1)</f>
        <v>844900</v>
      </c>
      <c r="F77" s="285">
        <v>660000</v>
      </c>
      <c r="G77" s="18">
        <f>TRUNC((G37/6/2),-1)</f>
        <v>497000</v>
      </c>
      <c r="H77" s="285">
        <v>1320000</v>
      </c>
      <c r="I77" s="302">
        <f>TRUNC(((G39+F74+J77)*1/226*1.5)*30,-1)</f>
        <v>2635480</v>
      </c>
      <c r="J77" s="302">
        <v>480000</v>
      </c>
      <c r="K77" s="302">
        <v>480000</v>
      </c>
    </row>
    <row r="78" spans="1:11" ht="10.5" customHeight="1">
      <c r="A78" s="300"/>
      <c r="B78" s="293"/>
      <c r="C78" s="294"/>
      <c r="D78" s="164">
        <v>9</v>
      </c>
      <c r="E78" s="31">
        <f>TRUNC((G38/6*90%),-1)</f>
        <v>919800</v>
      </c>
      <c r="F78" s="285"/>
      <c r="G78" s="18">
        <f>TRUNC((G38/6/2),-1)</f>
        <v>511000</v>
      </c>
      <c r="H78" s="285"/>
      <c r="I78" s="302"/>
      <c r="J78" s="302"/>
      <c r="K78" s="302"/>
    </row>
    <row r="79" spans="1:11" ht="10.5" customHeight="1">
      <c r="A79" s="300"/>
      <c r="B79" s="293"/>
      <c r="C79" s="294"/>
      <c r="D79" s="164" t="s">
        <v>112</v>
      </c>
      <c r="E79" s="18">
        <f>SUM(E77:E78)</f>
        <v>1764700</v>
      </c>
      <c r="F79" s="285"/>
      <c r="G79" s="18">
        <f>SUM(G77:G78)</f>
        <v>1008000</v>
      </c>
      <c r="H79" s="285"/>
      <c r="I79" s="302"/>
      <c r="J79" s="302"/>
      <c r="K79" s="302"/>
    </row>
    <row r="80" spans="1:11" ht="10.5" customHeight="1">
      <c r="A80" s="300">
        <v>14</v>
      </c>
      <c r="B80" s="293" t="s">
        <v>114</v>
      </c>
      <c r="C80" s="294" t="s">
        <v>136</v>
      </c>
      <c r="D80" s="164">
        <v>3</v>
      </c>
      <c r="E80" s="31">
        <f>TRUNC((G40/9*60%),-1)</f>
        <v>339600</v>
      </c>
      <c r="F80" s="285">
        <v>660000</v>
      </c>
      <c r="G80" s="18">
        <f>TRUNC((G40/9/2),-1)</f>
        <v>283000</v>
      </c>
      <c r="H80" s="286">
        <v>1320000</v>
      </c>
      <c r="I80" s="275">
        <f>TRUNC(((G42+F77+J80)*1/226*1.5)*16,-1)</f>
        <v>1221450</v>
      </c>
      <c r="J80" s="275">
        <v>480000</v>
      </c>
      <c r="K80" s="275"/>
    </row>
    <row r="81" spans="1:11" ht="10.5" customHeight="1">
      <c r="A81" s="300"/>
      <c r="B81" s="293"/>
      <c r="C81" s="294"/>
      <c r="D81" s="164">
        <v>4</v>
      </c>
      <c r="E81" s="31">
        <f>TRUNC((G41/3*65%),-1)</f>
        <v>1141400</v>
      </c>
      <c r="F81" s="285"/>
      <c r="G81" s="18">
        <f>TRUNC((G41/3/2),-1)</f>
        <v>878000</v>
      </c>
      <c r="H81" s="287"/>
      <c r="I81" s="276"/>
      <c r="J81" s="276"/>
      <c r="K81" s="276"/>
    </row>
    <row r="82" spans="1:11" ht="10.5" customHeight="1">
      <c r="A82" s="300"/>
      <c r="B82" s="293"/>
      <c r="C82" s="294"/>
      <c r="D82" s="164" t="s">
        <v>112</v>
      </c>
      <c r="E82" s="18">
        <f>SUM(E80:E81)</f>
        <v>1481000</v>
      </c>
      <c r="F82" s="285"/>
      <c r="G82" s="18">
        <f>SUM(G80:G81)</f>
        <v>1161000</v>
      </c>
      <c r="H82" s="288"/>
      <c r="I82" s="277"/>
      <c r="J82" s="277"/>
      <c r="K82" s="277"/>
    </row>
    <row r="83" spans="1:13" s="19" customFormat="1" ht="54" customHeight="1">
      <c r="A83" s="306" t="s">
        <v>117</v>
      </c>
      <c r="B83" s="307"/>
      <c r="C83" s="307"/>
      <c r="D83" s="308"/>
      <c r="E83" s="50">
        <f>SUM(E47,E50,E53,E55,E58,E60,E63,E66,E68,E70,E73,E76,E79,E82)</f>
        <v>25845200</v>
      </c>
      <c r="F83" s="50">
        <f>SUM(F45:F82)</f>
        <v>9240000</v>
      </c>
      <c r="G83" s="50">
        <f>SUM(G47,G50,G53,G55,G58,G60,,G63,G66,G68,G70+G73,G76,G79,G82)</f>
        <v>16432050</v>
      </c>
      <c r="H83" s="50">
        <f>SUM(H45:H82)</f>
        <v>18480000</v>
      </c>
      <c r="I83" s="50">
        <f>SUM(I45:I82)</f>
        <v>24104680</v>
      </c>
      <c r="J83" s="50">
        <f>SUM(J45:J82)</f>
        <v>7680000</v>
      </c>
      <c r="K83" s="50">
        <f>SUM(K45:K82)</f>
        <v>4560000</v>
      </c>
      <c r="M83" s="112"/>
    </row>
    <row r="84" spans="1:19" s="4" customFormat="1" ht="20.25" customHeight="1">
      <c r="A84" s="106" t="s">
        <v>84</v>
      </c>
      <c r="B84" s="106" t="s">
        <v>96</v>
      </c>
      <c r="C84" s="107" t="s">
        <v>109</v>
      </c>
      <c r="D84" s="108" t="s">
        <v>85</v>
      </c>
      <c r="E84" s="34" t="s">
        <v>118</v>
      </c>
      <c r="F84" s="34" t="s">
        <v>119</v>
      </c>
      <c r="G84" s="34" t="s">
        <v>107</v>
      </c>
      <c r="H84" s="34" t="s">
        <v>108</v>
      </c>
      <c r="I84" s="34" t="s">
        <v>125</v>
      </c>
      <c r="J84" s="34" t="s">
        <v>122</v>
      </c>
      <c r="K84" s="35" t="s">
        <v>3</v>
      </c>
      <c r="L84"/>
      <c r="M84" s="109"/>
      <c r="N84"/>
      <c r="O84"/>
      <c r="P84"/>
      <c r="Q84"/>
      <c r="R84"/>
      <c r="S84"/>
    </row>
    <row r="85" spans="1:11" ht="10.5" customHeight="1">
      <c r="A85" s="292">
        <v>1</v>
      </c>
      <c r="B85" s="293" t="s">
        <v>91</v>
      </c>
      <c r="C85" s="294" t="s">
        <v>130</v>
      </c>
      <c r="D85" s="164">
        <v>8</v>
      </c>
      <c r="E85" s="285">
        <f>TRUNC((F5*4.5%),-1)</f>
        <v>1522300</v>
      </c>
      <c r="F85" s="285">
        <f>TRUNC((F5*2.995%),-1)</f>
        <v>1013170</v>
      </c>
      <c r="G85" s="285">
        <f>TRUNC((F5*0.9%),-1)</f>
        <v>304460</v>
      </c>
      <c r="H85" s="285">
        <f>TRUNC((F5*0.78%),-1)</f>
        <v>263860</v>
      </c>
      <c r="I85" s="285">
        <f>SUM(E85,F85,G85,H85,K85)</f>
        <v>3170150</v>
      </c>
      <c r="J85" s="285">
        <f>TRUNC((F5)/12,-1)</f>
        <v>2819080</v>
      </c>
      <c r="K85" s="309">
        <f>TRUNC((F85*6.55%),-1)</f>
        <v>66360</v>
      </c>
    </row>
    <row r="86" spans="1:11" ht="10.5" customHeight="1">
      <c r="A86" s="292"/>
      <c r="B86" s="293"/>
      <c r="C86" s="294"/>
      <c r="D86" s="164">
        <v>9</v>
      </c>
      <c r="E86" s="285"/>
      <c r="F86" s="285"/>
      <c r="G86" s="285"/>
      <c r="H86" s="285"/>
      <c r="I86" s="285"/>
      <c r="J86" s="285"/>
      <c r="K86" s="310"/>
    </row>
    <row r="87" spans="1:11" ht="10.5" customHeight="1">
      <c r="A87" s="292"/>
      <c r="B87" s="293"/>
      <c r="C87" s="294"/>
      <c r="D87" s="164" t="s">
        <v>112</v>
      </c>
      <c r="E87" s="285"/>
      <c r="F87" s="285"/>
      <c r="G87" s="285"/>
      <c r="H87" s="285"/>
      <c r="I87" s="285"/>
      <c r="J87" s="285"/>
      <c r="K87" s="311"/>
    </row>
    <row r="88" spans="1:11" ht="10.5" customHeight="1">
      <c r="A88" s="289">
        <v>2</v>
      </c>
      <c r="B88" s="314" t="s">
        <v>16</v>
      </c>
      <c r="C88" s="303" t="s">
        <v>60</v>
      </c>
      <c r="D88" s="164">
        <v>12</v>
      </c>
      <c r="E88" s="285">
        <f>TRUNC((F8*4.5%),-1)</f>
        <v>1551600</v>
      </c>
      <c r="F88" s="285">
        <f>TRUNC((F8*2.995%),-1)</f>
        <v>1032680</v>
      </c>
      <c r="G88" s="285">
        <f>TRUNC((F8*0.9%),-1)</f>
        <v>310320</v>
      </c>
      <c r="H88" s="285">
        <f>TRUNC((F8*0.78%),-1)</f>
        <v>268940</v>
      </c>
      <c r="I88" s="285">
        <f>SUM(E88,F88,G88,H88,K88)</f>
        <v>3231180</v>
      </c>
      <c r="J88" s="285">
        <f>TRUNC((F8)/12,-1)</f>
        <v>2873350</v>
      </c>
      <c r="K88" s="309">
        <f>TRUNC((F88*6.55%),-1)</f>
        <v>67640</v>
      </c>
    </row>
    <row r="89" spans="1:11" ht="10.5" customHeight="1">
      <c r="A89" s="312"/>
      <c r="B89" s="312"/>
      <c r="C89" s="312"/>
      <c r="D89" s="164">
        <v>13</v>
      </c>
      <c r="E89" s="285"/>
      <c r="F89" s="285"/>
      <c r="G89" s="285"/>
      <c r="H89" s="285"/>
      <c r="I89" s="285"/>
      <c r="J89" s="285"/>
      <c r="K89" s="310"/>
    </row>
    <row r="90" spans="1:11" ht="10.5" customHeight="1">
      <c r="A90" s="313"/>
      <c r="B90" s="313"/>
      <c r="C90" s="313"/>
      <c r="D90" s="164" t="s">
        <v>112</v>
      </c>
      <c r="E90" s="285"/>
      <c r="F90" s="285"/>
      <c r="G90" s="285"/>
      <c r="H90" s="285"/>
      <c r="I90" s="285"/>
      <c r="J90" s="285"/>
      <c r="K90" s="311"/>
    </row>
    <row r="91" spans="1:11" ht="10.5" customHeight="1">
      <c r="A91" s="292">
        <v>3</v>
      </c>
      <c r="B91" s="300" t="s">
        <v>131</v>
      </c>
      <c r="C91" s="299" t="s">
        <v>132</v>
      </c>
      <c r="D91" s="164">
        <v>7</v>
      </c>
      <c r="E91" s="281">
        <f>TRUNC((F11*4.5%),-1)</f>
        <v>1285850</v>
      </c>
      <c r="F91" s="285">
        <f>TRUNC((F11*2.995%),-1)</f>
        <v>855800</v>
      </c>
      <c r="G91" s="285">
        <f>TRUNC((F11*0.9%),-1)</f>
        <v>257170</v>
      </c>
      <c r="H91" s="285">
        <f>TRUNC((F11*0.78%),-1)</f>
        <v>222880</v>
      </c>
      <c r="I91" s="285">
        <f>SUM(E91,F91,G91,H91,K91)</f>
        <v>2677750</v>
      </c>
      <c r="J91" s="285">
        <f>TRUNC((F11)/12,-1)</f>
        <v>2381210</v>
      </c>
      <c r="K91" s="309">
        <f>TRUNC((F91*6.55%),-1)</f>
        <v>56050</v>
      </c>
    </row>
    <row r="92" spans="1:11" ht="10.5" customHeight="1">
      <c r="A92" s="292"/>
      <c r="B92" s="300"/>
      <c r="C92" s="299"/>
      <c r="D92" s="164">
        <v>8</v>
      </c>
      <c r="E92" s="281"/>
      <c r="F92" s="285"/>
      <c r="G92" s="285"/>
      <c r="H92" s="285"/>
      <c r="I92" s="285"/>
      <c r="J92" s="285"/>
      <c r="K92" s="310"/>
    </row>
    <row r="93" spans="1:11" ht="10.5" customHeight="1">
      <c r="A93" s="292"/>
      <c r="B93" s="300"/>
      <c r="C93" s="299"/>
      <c r="D93" s="164" t="s">
        <v>112</v>
      </c>
      <c r="E93" s="281"/>
      <c r="F93" s="285"/>
      <c r="G93" s="285"/>
      <c r="H93" s="285"/>
      <c r="I93" s="285"/>
      <c r="J93" s="285"/>
      <c r="K93" s="311"/>
    </row>
    <row r="94" spans="1:11" ht="13.5" customHeight="1">
      <c r="A94" s="289">
        <v>4</v>
      </c>
      <c r="B94" s="296" t="s">
        <v>123</v>
      </c>
      <c r="C94" s="282" t="s">
        <v>17</v>
      </c>
      <c r="D94" s="164">
        <v>17</v>
      </c>
      <c r="E94" s="281">
        <f>TRUNC((F14*4.5%),-1)</f>
        <v>1499240</v>
      </c>
      <c r="F94" s="285">
        <f>TRUNC((F14*2.995%),-1)</f>
        <v>997830</v>
      </c>
      <c r="G94" s="285">
        <f>TRUNC((F14*0.9%),-1)</f>
        <v>299840</v>
      </c>
      <c r="H94" s="285">
        <f>TRUNC((F14*0.78%),-1)</f>
        <v>259860</v>
      </c>
      <c r="I94" s="285">
        <f>SUM(E94,F94,G94,H94,K94)</f>
        <v>3122120</v>
      </c>
      <c r="J94" s="285">
        <f>TRUNC((F14)/12,-1)</f>
        <v>2776380</v>
      </c>
      <c r="K94" s="309">
        <f>TRUNC((F94*6.55%),-1)</f>
        <v>65350</v>
      </c>
    </row>
    <row r="95" spans="1:11" ht="13.5" customHeight="1">
      <c r="A95" s="290"/>
      <c r="B95" s="298"/>
      <c r="C95" s="284"/>
      <c r="D95" s="164" t="s">
        <v>112</v>
      </c>
      <c r="E95" s="281"/>
      <c r="F95" s="285"/>
      <c r="G95" s="285"/>
      <c r="H95" s="285"/>
      <c r="I95" s="285"/>
      <c r="J95" s="285"/>
      <c r="K95" s="311"/>
    </row>
    <row r="96" spans="1:11" ht="10.5" customHeight="1">
      <c r="A96" s="292">
        <v>5</v>
      </c>
      <c r="B96" s="299" t="s">
        <v>92</v>
      </c>
      <c r="C96" s="299" t="s">
        <v>1</v>
      </c>
      <c r="D96" s="164">
        <v>4</v>
      </c>
      <c r="E96" s="285">
        <f>TRUNC((F16*4.5%),-1)</f>
        <v>1144350</v>
      </c>
      <c r="F96" s="286">
        <f>TRUNC((F16*2.995%),-1)</f>
        <v>761630</v>
      </c>
      <c r="G96" s="285">
        <f>TRUNC((F16*0.9%),-1)</f>
        <v>228870</v>
      </c>
      <c r="H96" s="285">
        <f>TRUNC((F16*0.78%),-1)</f>
        <v>198350</v>
      </c>
      <c r="I96" s="285">
        <f>SUM(E96,F96,G96,H96,K96)</f>
        <v>2383080</v>
      </c>
      <c r="J96" s="285">
        <f>TRUNC((F16)/12,-1)</f>
        <v>2119170</v>
      </c>
      <c r="K96" s="309">
        <f>TRUNC((F96*6.55%),-1)</f>
        <v>49880</v>
      </c>
    </row>
    <row r="97" spans="1:11" ht="10.5" customHeight="1">
      <c r="A97" s="292"/>
      <c r="B97" s="299"/>
      <c r="C97" s="299"/>
      <c r="D97" s="164">
        <v>5</v>
      </c>
      <c r="E97" s="285"/>
      <c r="F97" s="287"/>
      <c r="G97" s="285"/>
      <c r="H97" s="285"/>
      <c r="I97" s="285"/>
      <c r="J97" s="285"/>
      <c r="K97" s="310"/>
    </row>
    <row r="98" spans="1:11" ht="10.5" customHeight="1">
      <c r="A98" s="292"/>
      <c r="B98" s="299"/>
      <c r="C98" s="299"/>
      <c r="D98" s="164" t="s">
        <v>112</v>
      </c>
      <c r="E98" s="285"/>
      <c r="F98" s="288"/>
      <c r="G98" s="285"/>
      <c r="H98" s="285"/>
      <c r="I98" s="285"/>
      <c r="J98" s="285"/>
      <c r="K98" s="311"/>
    </row>
    <row r="99" spans="1:11" ht="13.5" customHeight="1">
      <c r="A99" s="300">
        <v>6</v>
      </c>
      <c r="B99" s="293" t="s">
        <v>92</v>
      </c>
      <c r="C99" s="294" t="s">
        <v>124</v>
      </c>
      <c r="D99" s="164">
        <v>8</v>
      </c>
      <c r="E99" s="285">
        <f>TRUNC((F19*4.5%),-1)</f>
        <v>1268020</v>
      </c>
      <c r="F99" s="285">
        <f>TRUNC((F19*2.995%),-1)</f>
        <v>843940</v>
      </c>
      <c r="G99" s="285">
        <f>TRUNC((F19*0.9%),-1)</f>
        <v>253600</v>
      </c>
      <c r="H99" s="285">
        <f>TRUNC((F19*0.78%),-1)</f>
        <v>219790</v>
      </c>
      <c r="I99" s="285">
        <f>SUM(E99,F99,G99,H99,K99)</f>
        <v>2640620</v>
      </c>
      <c r="J99" s="285">
        <f>TRUNC((F19)/12,-1)</f>
        <v>2348190</v>
      </c>
      <c r="K99" s="309">
        <f>TRUNC((F99*6.55%),-1)</f>
        <v>55270</v>
      </c>
    </row>
    <row r="100" spans="1:11" ht="13.5" customHeight="1">
      <c r="A100" s="300"/>
      <c r="B100" s="293"/>
      <c r="C100" s="294"/>
      <c r="D100" s="164" t="s">
        <v>112</v>
      </c>
      <c r="E100" s="285"/>
      <c r="F100" s="285"/>
      <c r="G100" s="285"/>
      <c r="H100" s="285"/>
      <c r="I100" s="285"/>
      <c r="J100" s="285"/>
      <c r="K100" s="311"/>
    </row>
    <row r="101" spans="1:11" ht="10.5" customHeight="1">
      <c r="A101" s="292">
        <v>8</v>
      </c>
      <c r="B101" s="300" t="s">
        <v>92</v>
      </c>
      <c r="C101" s="299" t="s">
        <v>134</v>
      </c>
      <c r="D101" s="164">
        <v>6</v>
      </c>
      <c r="E101" s="285">
        <f>TRUNC((F21*4.5%),-1)</f>
        <v>1191040</v>
      </c>
      <c r="F101" s="285">
        <f>TRUNC((F21*2.995%),-1)</f>
        <v>792700</v>
      </c>
      <c r="G101" s="285">
        <f>TRUNC((F21*0.9%),-1)</f>
        <v>238200</v>
      </c>
      <c r="H101" s="285">
        <f>TRUNC((F21*0.78%),-1)</f>
        <v>206440</v>
      </c>
      <c r="I101" s="285">
        <f>SUM(E101,F101,G101,H101,K101)</f>
        <v>2480300</v>
      </c>
      <c r="J101" s="285">
        <f>TRUNC((F21)/12,-1)</f>
        <v>2205630</v>
      </c>
      <c r="K101" s="309">
        <f>TRUNC((F101*6.55%),-1)</f>
        <v>51920</v>
      </c>
    </row>
    <row r="102" spans="1:11" ht="10.5" customHeight="1">
      <c r="A102" s="292"/>
      <c r="B102" s="300"/>
      <c r="C102" s="299"/>
      <c r="D102" s="164">
        <v>7</v>
      </c>
      <c r="E102" s="285"/>
      <c r="F102" s="285"/>
      <c r="G102" s="285"/>
      <c r="H102" s="285"/>
      <c r="I102" s="285"/>
      <c r="J102" s="285"/>
      <c r="K102" s="310"/>
    </row>
    <row r="103" spans="1:11" ht="10.5" customHeight="1">
      <c r="A103" s="292"/>
      <c r="B103" s="300"/>
      <c r="C103" s="299"/>
      <c r="D103" s="164" t="s">
        <v>112</v>
      </c>
      <c r="E103" s="285"/>
      <c r="F103" s="285"/>
      <c r="G103" s="285"/>
      <c r="H103" s="285"/>
      <c r="I103" s="285"/>
      <c r="J103" s="285"/>
      <c r="K103" s="311"/>
    </row>
    <row r="104" spans="1:11" ht="10.5" customHeight="1">
      <c r="A104" s="300">
        <v>9</v>
      </c>
      <c r="B104" s="293" t="s">
        <v>92</v>
      </c>
      <c r="C104" s="294" t="s">
        <v>135</v>
      </c>
      <c r="D104" s="164">
        <v>2</v>
      </c>
      <c r="E104" s="285">
        <f>TRUNC((F24*4.5%),-1)</f>
        <v>1029510</v>
      </c>
      <c r="F104" s="285">
        <f>TRUNC((F24*2.995%),-1)</f>
        <v>685200</v>
      </c>
      <c r="G104" s="285">
        <f>TRUNC((F24*0.9%),-1)</f>
        <v>205900</v>
      </c>
      <c r="H104" s="285">
        <f>TRUNC((F24*0.78%),-1)</f>
        <v>178440</v>
      </c>
      <c r="I104" s="285">
        <f>SUM(E104,F104,G104,H104,K104)</f>
        <v>2143930</v>
      </c>
      <c r="J104" s="285">
        <f>TRUNC((F24)/12,-1)</f>
        <v>1906510</v>
      </c>
      <c r="K104" s="309">
        <f>TRUNC((F104*6.55%),-1)</f>
        <v>44880</v>
      </c>
    </row>
    <row r="105" spans="1:11" ht="10.5" customHeight="1">
      <c r="A105" s="300"/>
      <c r="B105" s="293"/>
      <c r="C105" s="294"/>
      <c r="D105" s="164">
        <v>3</v>
      </c>
      <c r="E105" s="285"/>
      <c r="F105" s="285"/>
      <c r="G105" s="285"/>
      <c r="H105" s="285"/>
      <c r="I105" s="285"/>
      <c r="J105" s="285"/>
      <c r="K105" s="310"/>
    </row>
    <row r="106" spans="1:11" ht="10.5" customHeight="1">
      <c r="A106" s="300"/>
      <c r="B106" s="293"/>
      <c r="C106" s="294"/>
      <c r="D106" s="164" t="s">
        <v>112</v>
      </c>
      <c r="E106" s="285"/>
      <c r="F106" s="285"/>
      <c r="G106" s="285"/>
      <c r="H106" s="285"/>
      <c r="I106" s="285"/>
      <c r="J106" s="285"/>
      <c r="K106" s="311"/>
    </row>
    <row r="107" spans="1:11" ht="13.5" customHeight="1">
      <c r="A107" s="300">
        <v>10</v>
      </c>
      <c r="B107" s="299" t="s">
        <v>92</v>
      </c>
      <c r="C107" s="299" t="s">
        <v>95</v>
      </c>
      <c r="D107" s="164">
        <v>9</v>
      </c>
      <c r="E107" s="285">
        <f>TRUNC((F27*4.5%),-1)</f>
        <v>1333930</v>
      </c>
      <c r="F107" s="285">
        <f>TRUNC((F27*2.995%),-1)</f>
        <v>887810</v>
      </c>
      <c r="G107" s="285">
        <f>TRUNC((F27*0.9%),-1)</f>
        <v>266780</v>
      </c>
      <c r="H107" s="285">
        <f>TRUNC((F27*0.78%),-1)</f>
        <v>231210</v>
      </c>
      <c r="I107" s="285">
        <f>SUM(E107,F107,G107,H107,K107)</f>
        <v>2777880</v>
      </c>
      <c r="J107" s="285">
        <f>TRUNC((F27)/12,-1)</f>
        <v>2470250</v>
      </c>
      <c r="K107" s="309">
        <f>TRUNC((F107*6.55%),-1)</f>
        <v>58150</v>
      </c>
    </row>
    <row r="108" spans="1:11" ht="13.5" customHeight="1">
      <c r="A108" s="300"/>
      <c r="B108" s="299"/>
      <c r="C108" s="299"/>
      <c r="D108" s="164" t="s">
        <v>112</v>
      </c>
      <c r="E108" s="285"/>
      <c r="F108" s="285"/>
      <c r="G108" s="285"/>
      <c r="H108" s="285"/>
      <c r="I108" s="285"/>
      <c r="J108" s="285"/>
      <c r="K108" s="311"/>
    </row>
    <row r="109" spans="1:11" ht="13.5" customHeight="1">
      <c r="A109" s="300">
        <v>11</v>
      </c>
      <c r="B109" s="293" t="s">
        <v>92</v>
      </c>
      <c r="C109" s="294" t="s">
        <v>2</v>
      </c>
      <c r="D109" s="164">
        <v>4</v>
      </c>
      <c r="E109" s="285">
        <f>TRUNC((F29*4.5%),-1)</f>
        <v>1113530</v>
      </c>
      <c r="F109" s="285">
        <f>TRUNC((F29*2.995%),-1)</f>
        <v>741110</v>
      </c>
      <c r="G109" s="285">
        <f>TRUNC((F29*0.9%),-1)</f>
        <v>222700</v>
      </c>
      <c r="H109" s="285">
        <f>TRUNC((F29*0.78%),-1)</f>
        <v>193010</v>
      </c>
      <c r="I109" s="285">
        <f>SUM(E109,F109,G109,H109,K109)</f>
        <v>2318890</v>
      </c>
      <c r="J109" s="285">
        <f>TRUNC((F29)/12,-1)</f>
        <v>2062090</v>
      </c>
      <c r="K109" s="309">
        <f>TRUNC((F109*6.55%),-1)</f>
        <v>48540</v>
      </c>
    </row>
    <row r="110" spans="1:11" ht="11.25" customHeight="1">
      <c r="A110" s="300"/>
      <c r="B110" s="293"/>
      <c r="C110" s="294"/>
      <c r="D110" s="164" t="s">
        <v>112</v>
      </c>
      <c r="E110" s="285"/>
      <c r="F110" s="285"/>
      <c r="G110" s="285"/>
      <c r="H110" s="285"/>
      <c r="I110" s="285"/>
      <c r="J110" s="285"/>
      <c r="K110" s="311"/>
    </row>
    <row r="111" spans="1:11" ht="10.5" customHeight="1">
      <c r="A111" s="292">
        <v>7</v>
      </c>
      <c r="B111" s="293" t="s">
        <v>93</v>
      </c>
      <c r="C111" s="294" t="s">
        <v>133</v>
      </c>
      <c r="D111" s="164">
        <v>16</v>
      </c>
      <c r="E111" s="285">
        <f>TRUNC((F31*4.5%),-1)</f>
        <v>1630830</v>
      </c>
      <c r="F111" s="286">
        <f>TRUNC((F31*2.995%),-1)</f>
        <v>1085410</v>
      </c>
      <c r="G111" s="285">
        <f>TRUNC((F31*0.9%),-1)</f>
        <v>326160</v>
      </c>
      <c r="H111" s="285">
        <f>TRUNC((F31*0.78%),-1)</f>
        <v>282670</v>
      </c>
      <c r="I111" s="285">
        <f>SUM(E111,F111,G111,H111,K111)</f>
        <v>3396160</v>
      </c>
      <c r="J111" s="285">
        <f>TRUNC((F31)/12,-1)</f>
        <v>3020060</v>
      </c>
      <c r="K111" s="309">
        <f>TRUNC((F111*6.55%),-1)</f>
        <v>71090</v>
      </c>
    </row>
    <row r="112" spans="1:11" ht="10.5" customHeight="1">
      <c r="A112" s="292"/>
      <c r="B112" s="293"/>
      <c r="C112" s="294"/>
      <c r="D112" s="164">
        <v>17</v>
      </c>
      <c r="E112" s="285"/>
      <c r="F112" s="287"/>
      <c r="G112" s="285"/>
      <c r="H112" s="285"/>
      <c r="I112" s="285"/>
      <c r="J112" s="285"/>
      <c r="K112" s="310"/>
    </row>
    <row r="113" spans="1:11" ht="10.5" customHeight="1">
      <c r="A113" s="292"/>
      <c r="B113" s="293"/>
      <c r="C113" s="294"/>
      <c r="D113" s="164" t="s">
        <v>112</v>
      </c>
      <c r="E113" s="285"/>
      <c r="F113" s="288"/>
      <c r="G113" s="285"/>
      <c r="H113" s="285"/>
      <c r="I113" s="285"/>
      <c r="J113" s="285"/>
      <c r="K113" s="311"/>
    </row>
    <row r="114" spans="1:11" ht="10.5" customHeight="1">
      <c r="A114" s="300">
        <v>12</v>
      </c>
      <c r="B114" s="293" t="s">
        <v>113</v>
      </c>
      <c r="C114" s="294" t="s">
        <v>104</v>
      </c>
      <c r="D114" s="164">
        <v>8</v>
      </c>
      <c r="E114" s="285">
        <f>TRUNC((F34*4.5%),-1)</f>
        <v>1231020</v>
      </c>
      <c r="F114" s="286">
        <f>TRUNC((F34*2.995%),-1)</f>
        <v>819310</v>
      </c>
      <c r="G114" s="285">
        <f>TRUNC((F34*0.9%),-1)</f>
        <v>246200</v>
      </c>
      <c r="H114" s="285">
        <f>TRUNC((F34*0.78%),-1)</f>
        <v>213370</v>
      </c>
      <c r="I114" s="285">
        <f>SUM(E114,F114,G114,H114,K114)</f>
        <v>2563560</v>
      </c>
      <c r="J114" s="285">
        <f>TRUNC((F34)/12,-1)</f>
        <v>2279680</v>
      </c>
      <c r="K114" s="309">
        <f>TRUNC((F114*6.55%),-1)</f>
        <v>53660</v>
      </c>
    </row>
    <row r="115" spans="1:11" ht="10.5" customHeight="1">
      <c r="A115" s="300"/>
      <c r="B115" s="293"/>
      <c r="C115" s="294"/>
      <c r="D115" s="164">
        <v>9</v>
      </c>
      <c r="E115" s="285"/>
      <c r="F115" s="287"/>
      <c r="G115" s="285"/>
      <c r="H115" s="285"/>
      <c r="I115" s="285"/>
      <c r="J115" s="285"/>
      <c r="K115" s="310"/>
    </row>
    <row r="116" spans="1:11" ht="10.5" customHeight="1">
      <c r="A116" s="300"/>
      <c r="B116" s="293"/>
      <c r="C116" s="294"/>
      <c r="D116" s="164" t="s">
        <v>112</v>
      </c>
      <c r="E116" s="285"/>
      <c r="F116" s="288"/>
      <c r="G116" s="285"/>
      <c r="H116" s="285"/>
      <c r="I116" s="285"/>
      <c r="J116" s="285"/>
      <c r="K116" s="311"/>
    </row>
    <row r="117" spans="1:11" ht="10.5" customHeight="1">
      <c r="A117" s="296">
        <v>13</v>
      </c>
      <c r="B117" s="314" t="s">
        <v>113</v>
      </c>
      <c r="C117" s="303" t="s">
        <v>101</v>
      </c>
      <c r="D117" s="164">
        <v>8</v>
      </c>
      <c r="E117" s="285">
        <f>TRUNC((F37*4.5%),-1)</f>
        <v>1231020</v>
      </c>
      <c r="F117" s="286">
        <f>TRUNC((F37*2.995%),-1)</f>
        <v>819310</v>
      </c>
      <c r="G117" s="286">
        <f>TRUNC((F37*0.9%),-1)</f>
        <v>246200</v>
      </c>
      <c r="H117" s="286">
        <f>TRUNC((F37*0.78%),-1)</f>
        <v>213370</v>
      </c>
      <c r="I117" s="285">
        <f>SUM(E117,F117,G117,H117,K117)</f>
        <v>2563560</v>
      </c>
      <c r="J117" s="285">
        <f>TRUNC((F37)/12,-1)</f>
        <v>2279680</v>
      </c>
      <c r="K117" s="309">
        <f>TRUNC((F117*6.55%),-1)</f>
        <v>53660</v>
      </c>
    </row>
    <row r="118" spans="1:11" ht="10.5" customHeight="1">
      <c r="A118" s="297"/>
      <c r="B118" s="315"/>
      <c r="C118" s="304"/>
      <c r="D118" s="164">
        <v>9</v>
      </c>
      <c r="E118" s="285"/>
      <c r="F118" s="287"/>
      <c r="G118" s="287"/>
      <c r="H118" s="287"/>
      <c r="I118" s="285"/>
      <c r="J118" s="285"/>
      <c r="K118" s="310"/>
    </row>
    <row r="119" spans="1:11" ht="10.5" customHeight="1">
      <c r="A119" s="298"/>
      <c r="B119" s="316"/>
      <c r="C119" s="305"/>
      <c r="D119" s="164" t="s">
        <v>112</v>
      </c>
      <c r="E119" s="285"/>
      <c r="F119" s="288"/>
      <c r="G119" s="288"/>
      <c r="H119" s="288"/>
      <c r="I119" s="285"/>
      <c r="J119" s="285"/>
      <c r="K119" s="311"/>
    </row>
    <row r="120" spans="1:11" ht="10.5" customHeight="1">
      <c r="A120" s="296">
        <v>14</v>
      </c>
      <c r="B120" s="314" t="s">
        <v>114</v>
      </c>
      <c r="C120" s="303" t="s">
        <v>136</v>
      </c>
      <c r="D120" s="164">
        <v>3</v>
      </c>
      <c r="E120" s="285">
        <f>TRUNC((F40*4.5%),-1)</f>
        <v>987270</v>
      </c>
      <c r="F120" s="286">
        <f>TRUNC((F40*2.995%),-1)</f>
        <v>657080</v>
      </c>
      <c r="G120" s="286">
        <f>TRUNC((F40*0.9%),-1)</f>
        <v>197450</v>
      </c>
      <c r="H120" s="286">
        <f>TRUNC((F40*0.78%),-1)</f>
        <v>171120</v>
      </c>
      <c r="I120" s="285">
        <f>SUM(E120,F120,G120,H120,K120)</f>
        <v>2055950</v>
      </c>
      <c r="J120" s="285">
        <f>TRUNC((F40)/12,-1)</f>
        <v>1828280</v>
      </c>
      <c r="K120" s="309">
        <f>TRUNC((F120*6.55%),-1)</f>
        <v>43030</v>
      </c>
    </row>
    <row r="121" spans="1:11" ht="10.5" customHeight="1">
      <c r="A121" s="297"/>
      <c r="B121" s="315"/>
      <c r="C121" s="304"/>
      <c r="D121" s="164">
        <v>4</v>
      </c>
      <c r="E121" s="285"/>
      <c r="F121" s="287"/>
      <c r="G121" s="287"/>
      <c r="H121" s="287"/>
      <c r="I121" s="285"/>
      <c r="J121" s="285"/>
      <c r="K121" s="310"/>
    </row>
    <row r="122" spans="1:11" ht="10.5" customHeight="1">
      <c r="A122" s="298"/>
      <c r="B122" s="316"/>
      <c r="C122" s="305"/>
      <c r="D122" s="164" t="s">
        <v>112</v>
      </c>
      <c r="E122" s="285"/>
      <c r="F122" s="288"/>
      <c r="G122" s="288"/>
      <c r="H122" s="288"/>
      <c r="I122" s="285"/>
      <c r="J122" s="285"/>
      <c r="K122" s="311"/>
    </row>
    <row r="123" spans="1:13" s="19" customFormat="1" ht="51" customHeight="1">
      <c r="A123" s="317" t="s">
        <v>117</v>
      </c>
      <c r="B123" s="318"/>
      <c r="C123" s="318"/>
      <c r="D123" s="319"/>
      <c r="E123" s="50">
        <f aca="true" t="shared" si="1" ref="E123:K123">SUM(E85:E122)</f>
        <v>18019510</v>
      </c>
      <c r="F123" s="50">
        <f t="shared" si="1"/>
        <v>11992980</v>
      </c>
      <c r="G123" s="50">
        <f t="shared" si="1"/>
        <v>3603850</v>
      </c>
      <c r="H123" s="50">
        <f t="shared" si="1"/>
        <v>3123310</v>
      </c>
      <c r="I123" s="50">
        <f>SUM(I85:I122)</f>
        <v>37525130</v>
      </c>
      <c r="J123" s="50">
        <f t="shared" si="1"/>
        <v>33369560</v>
      </c>
      <c r="K123" s="50">
        <f t="shared" si="1"/>
        <v>785480</v>
      </c>
      <c r="M123" s="112"/>
    </row>
    <row r="124" ht="13.5">
      <c r="K124" s="6"/>
    </row>
    <row r="125" ht="13.5">
      <c r="K125" s="6"/>
    </row>
  </sheetData>
  <sheetProtection/>
  <mergeCells count="354">
    <mergeCell ref="K120:K122"/>
    <mergeCell ref="A123:D123"/>
    <mergeCell ref="I117:I119"/>
    <mergeCell ref="J117:J119"/>
    <mergeCell ref="K117:K119"/>
    <mergeCell ref="A120:A122"/>
    <mergeCell ref="B120:B122"/>
    <mergeCell ref="C120:C122"/>
    <mergeCell ref="E120:E122"/>
    <mergeCell ref="F120:F122"/>
    <mergeCell ref="G120:G122"/>
    <mergeCell ref="H120:H122"/>
    <mergeCell ref="I114:I116"/>
    <mergeCell ref="J114:J116"/>
    <mergeCell ref="I120:I122"/>
    <mergeCell ref="J120:J122"/>
    <mergeCell ref="K114:K116"/>
    <mergeCell ref="A117:A119"/>
    <mergeCell ref="B117:B119"/>
    <mergeCell ref="C117:C119"/>
    <mergeCell ref="E117:E119"/>
    <mergeCell ref="F117:F119"/>
    <mergeCell ref="G117:G119"/>
    <mergeCell ref="H117:H119"/>
    <mergeCell ref="I111:I113"/>
    <mergeCell ref="J111:J113"/>
    <mergeCell ref="K111:K113"/>
    <mergeCell ref="A114:A116"/>
    <mergeCell ref="B114:B116"/>
    <mergeCell ref="C114:C116"/>
    <mergeCell ref="E114:E116"/>
    <mergeCell ref="F114:F116"/>
    <mergeCell ref="G114:G116"/>
    <mergeCell ref="H114:H116"/>
    <mergeCell ref="I109:I110"/>
    <mergeCell ref="J109:J110"/>
    <mergeCell ref="K109:K110"/>
    <mergeCell ref="A111:A113"/>
    <mergeCell ref="B111:B113"/>
    <mergeCell ref="C111:C113"/>
    <mergeCell ref="E111:E113"/>
    <mergeCell ref="F111:F113"/>
    <mergeCell ref="G111:G113"/>
    <mergeCell ref="H111:H113"/>
    <mergeCell ref="I107:I108"/>
    <mergeCell ref="J107:J108"/>
    <mergeCell ref="K107:K108"/>
    <mergeCell ref="A109:A110"/>
    <mergeCell ref="B109:B110"/>
    <mergeCell ref="C109:C110"/>
    <mergeCell ref="E109:E110"/>
    <mergeCell ref="F109:F110"/>
    <mergeCell ref="G109:G110"/>
    <mergeCell ref="H109:H110"/>
    <mergeCell ref="I104:I106"/>
    <mergeCell ref="J104:J106"/>
    <mergeCell ref="K104:K106"/>
    <mergeCell ref="A107:A108"/>
    <mergeCell ref="B107:B108"/>
    <mergeCell ref="C107:C108"/>
    <mergeCell ref="E107:E108"/>
    <mergeCell ref="F107:F108"/>
    <mergeCell ref="G107:G108"/>
    <mergeCell ref="H107:H108"/>
    <mergeCell ref="I101:I103"/>
    <mergeCell ref="J101:J103"/>
    <mergeCell ref="K101:K103"/>
    <mergeCell ref="A104:A106"/>
    <mergeCell ref="B104:B106"/>
    <mergeCell ref="C104:C106"/>
    <mergeCell ref="E104:E106"/>
    <mergeCell ref="F104:F106"/>
    <mergeCell ref="G104:G106"/>
    <mergeCell ref="H104:H106"/>
    <mergeCell ref="I99:I100"/>
    <mergeCell ref="J99:J100"/>
    <mergeCell ref="K99:K100"/>
    <mergeCell ref="A101:A103"/>
    <mergeCell ref="B101:B103"/>
    <mergeCell ref="C101:C103"/>
    <mergeCell ref="E101:E103"/>
    <mergeCell ref="F101:F103"/>
    <mergeCell ref="G101:G103"/>
    <mergeCell ref="H101:H103"/>
    <mergeCell ref="I96:I98"/>
    <mergeCell ref="J96:J98"/>
    <mergeCell ref="K96:K98"/>
    <mergeCell ref="A99:A100"/>
    <mergeCell ref="B99:B100"/>
    <mergeCell ref="C99:C100"/>
    <mergeCell ref="E99:E100"/>
    <mergeCell ref="F99:F100"/>
    <mergeCell ref="G99:G100"/>
    <mergeCell ref="H99:H100"/>
    <mergeCell ref="I94:I95"/>
    <mergeCell ref="J94:J95"/>
    <mergeCell ref="K94:K95"/>
    <mergeCell ref="A96:A98"/>
    <mergeCell ref="B96:B98"/>
    <mergeCell ref="C96:C98"/>
    <mergeCell ref="E96:E98"/>
    <mergeCell ref="F96:F98"/>
    <mergeCell ref="G96:G98"/>
    <mergeCell ref="H96:H98"/>
    <mergeCell ref="I91:I93"/>
    <mergeCell ref="J91:J93"/>
    <mergeCell ref="K91:K93"/>
    <mergeCell ref="A94:A95"/>
    <mergeCell ref="B94:B95"/>
    <mergeCell ref="C94:C95"/>
    <mergeCell ref="E94:E95"/>
    <mergeCell ref="F94:F95"/>
    <mergeCell ref="G94:G95"/>
    <mergeCell ref="H94:H95"/>
    <mergeCell ref="I88:I90"/>
    <mergeCell ref="J88:J90"/>
    <mergeCell ref="K88:K90"/>
    <mergeCell ref="A91:A93"/>
    <mergeCell ref="B91:B93"/>
    <mergeCell ref="C91:C93"/>
    <mergeCell ref="E91:E93"/>
    <mergeCell ref="F91:F93"/>
    <mergeCell ref="G91:G93"/>
    <mergeCell ref="H91:H93"/>
    <mergeCell ref="I85:I87"/>
    <mergeCell ref="J85:J87"/>
    <mergeCell ref="K85:K87"/>
    <mergeCell ref="A88:A90"/>
    <mergeCell ref="B88:B90"/>
    <mergeCell ref="C88:C90"/>
    <mergeCell ref="E88:E90"/>
    <mergeCell ref="F88:F90"/>
    <mergeCell ref="G88:G90"/>
    <mergeCell ref="H88:H90"/>
    <mergeCell ref="J80:J82"/>
    <mergeCell ref="K80:K82"/>
    <mergeCell ref="A83:D83"/>
    <mergeCell ref="A85:A87"/>
    <mergeCell ref="B85:B87"/>
    <mergeCell ref="C85:C87"/>
    <mergeCell ref="E85:E87"/>
    <mergeCell ref="F85:F87"/>
    <mergeCell ref="G85:G87"/>
    <mergeCell ref="H85:H87"/>
    <mergeCell ref="A80:A82"/>
    <mergeCell ref="B80:B82"/>
    <mergeCell ref="C80:C82"/>
    <mergeCell ref="F80:F82"/>
    <mergeCell ref="H80:H82"/>
    <mergeCell ref="I80:I82"/>
    <mergeCell ref="J74:J76"/>
    <mergeCell ref="K74:K76"/>
    <mergeCell ref="A77:A79"/>
    <mergeCell ref="B77:B79"/>
    <mergeCell ref="C77:C79"/>
    <mergeCell ref="F77:F79"/>
    <mergeCell ref="H77:H79"/>
    <mergeCell ref="I77:I79"/>
    <mergeCell ref="J77:J79"/>
    <mergeCell ref="K77:K79"/>
    <mergeCell ref="A74:A76"/>
    <mergeCell ref="B74:B76"/>
    <mergeCell ref="C74:C76"/>
    <mergeCell ref="F74:F76"/>
    <mergeCell ref="H74:H76"/>
    <mergeCell ref="I74:I76"/>
    <mergeCell ref="J69:J70"/>
    <mergeCell ref="K69:K70"/>
    <mergeCell ref="A71:A73"/>
    <mergeCell ref="B71:B73"/>
    <mergeCell ref="C71:C73"/>
    <mergeCell ref="F71:F73"/>
    <mergeCell ref="H71:H73"/>
    <mergeCell ref="I71:I73"/>
    <mergeCell ref="J71:J73"/>
    <mergeCell ref="K71:K73"/>
    <mergeCell ref="A69:A70"/>
    <mergeCell ref="B69:B70"/>
    <mergeCell ref="C69:C70"/>
    <mergeCell ref="F69:F70"/>
    <mergeCell ref="H69:H70"/>
    <mergeCell ref="I69:I70"/>
    <mergeCell ref="J64:J66"/>
    <mergeCell ref="K64:K66"/>
    <mergeCell ref="A67:A68"/>
    <mergeCell ref="B67:B68"/>
    <mergeCell ref="C67:C68"/>
    <mergeCell ref="F67:F68"/>
    <mergeCell ref="H67:H68"/>
    <mergeCell ref="I67:I68"/>
    <mergeCell ref="J67:J68"/>
    <mergeCell ref="K67:K68"/>
    <mergeCell ref="A64:A66"/>
    <mergeCell ref="B64:B66"/>
    <mergeCell ref="C64:C66"/>
    <mergeCell ref="F64:F66"/>
    <mergeCell ref="H64:H66"/>
    <mergeCell ref="I64:I66"/>
    <mergeCell ref="J59:J60"/>
    <mergeCell ref="K59:K60"/>
    <mergeCell ref="A61:A63"/>
    <mergeCell ref="B61:B63"/>
    <mergeCell ref="C61:C63"/>
    <mergeCell ref="F61:F63"/>
    <mergeCell ref="H61:H63"/>
    <mergeCell ref="I61:I63"/>
    <mergeCell ref="J61:J63"/>
    <mergeCell ref="K61:K63"/>
    <mergeCell ref="A59:A60"/>
    <mergeCell ref="B59:B60"/>
    <mergeCell ref="C59:C60"/>
    <mergeCell ref="F59:F60"/>
    <mergeCell ref="H59:H60"/>
    <mergeCell ref="I59:I60"/>
    <mergeCell ref="J54:J55"/>
    <mergeCell ref="K54:K55"/>
    <mergeCell ref="A56:A58"/>
    <mergeCell ref="B56:B58"/>
    <mergeCell ref="C56:C58"/>
    <mergeCell ref="F56:F58"/>
    <mergeCell ref="H56:H58"/>
    <mergeCell ref="I56:I58"/>
    <mergeCell ref="J56:J58"/>
    <mergeCell ref="K56:K58"/>
    <mergeCell ref="A54:A55"/>
    <mergeCell ref="B54:B55"/>
    <mergeCell ref="C54:C55"/>
    <mergeCell ref="F54:F55"/>
    <mergeCell ref="H54:H55"/>
    <mergeCell ref="I54:I55"/>
    <mergeCell ref="J48:J50"/>
    <mergeCell ref="K48:K50"/>
    <mergeCell ref="A51:A53"/>
    <mergeCell ref="B51:B53"/>
    <mergeCell ref="C51:C53"/>
    <mergeCell ref="F51:F53"/>
    <mergeCell ref="H51:H53"/>
    <mergeCell ref="I51:I53"/>
    <mergeCell ref="J51:J53"/>
    <mergeCell ref="K51:K53"/>
    <mergeCell ref="A48:A50"/>
    <mergeCell ref="B48:B50"/>
    <mergeCell ref="C48:C50"/>
    <mergeCell ref="F48:F50"/>
    <mergeCell ref="H48:H50"/>
    <mergeCell ref="I48:I50"/>
    <mergeCell ref="K40:K42"/>
    <mergeCell ref="A43:D43"/>
    <mergeCell ref="A45:A47"/>
    <mergeCell ref="B45:B47"/>
    <mergeCell ref="C45:C47"/>
    <mergeCell ref="F45:F47"/>
    <mergeCell ref="H45:H47"/>
    <mergeCell ref="I45:I47"/>
    <mergeCell ref="J45:J47"/>
    <mergeCell ref="K45:K47"/>
    <mergeCell ref="A40:A42"/>
    <mergeCell ref="B40:B42"/>
    <mergeCell ref="C40:C42"/>
    <mergeCell ref="E40:E42"/>
    <mergeCell ref="F40:F42"/>
    <mergeCell ref="H40:H42"/>
    <mergeCell ref="K34:K36"/>
    <mergeCell ref="A37:A39"/>
    <mergeCell ref="B37:B39"/>
    <mergeCell ref="C37:C39"/>
    <mergeCell ref="E37:E39"/>
    <mergeCell ref="F37:F39"/>
    <mergeCell ref="H37:H39"/>
    <mergeCell ref="K37:K39"/>
    <mergeCell ref="A34:A36"/>
    <mergeCell ref="B34:B36"/>
    <mergeCell ref="C34:C36"/>
    <mergeCell ref="E34:E36"/>
    <mergeCell ref="F34:F36"/>
    <mergeCell ref="H34:H36"/>
    <mergeCell ref="K29:K30"/>
    <mergeCell ref="A31:A33"/>
    <mergeCell ref="B31:B33"/>
    <mergeCell ref="C31:C33"/>
    <mergeCell ref="E31:E33"/>
    <mergeCell ref="F31:F33"/>
    <mergeCell ref="H31:H33"/>
    <mergeCell ref="K31:K33"/>
    <mergeCell ref="A29:A30"/>
    <mergeCell ref="B29:B30"/>
    <mergeCell ref="C29:C30"/>
    <mergeCell ref="E29:E30"/>
    <mergeCell ref="F29:F30"/>
    <mergeCell ref="H29:H30"/>
    <mergeCell ref="K24:K26"/>
    <mergeCell ref="A27:A28"/>
    <mergeCell ref="B27:B28"/>
    <mergeCell ref="C27:C28"/>
    <mergeCell ref="E27:E28"/>
    <mergeCell ref="F27:F28"/>
    <mergeCell ref="H27:H28"/>
    <mergeCell ref="K27:K28"/>
    <mergeCell ref="A24:A26"/>
    <mergeCell ref="B24:B26"/>
    <mergeCell ref="C24:C26"/>
    <mergeCell ref="E24:E26"/>
    <mergeCell ref="F24:F26"/>
    <mergeCell ref="H24:H26"/>
    <mergeCell ref="K19:K20"/>
    <mergeCell ref="A21:A23"/>
    <mergeCell ref="B21:B23"/>
    <mergeCell ref="C21:C23"/>
    <mergeCell ref="E21:E23"/>
    <mergeCell ref="F21:F23"/>
    <mergeCell ref="H21:H23"/>
    <mergeCell ref="K21:K23"/>
    <mergeCell ref="A19:A20"/>
    <mergeCell ref="B19:B20"/>
    <mergeCell ref="C19:C20"/>
    <mergeCell ref="E19:E20"/>
    <mergeCell ref="F19:F20"/>
    <mergeCell ref="H19:H20"/>
    <mergeCell ref="K14:K15"/>
    <mergeCell ref="A16:A18"/>
    <mergeCell ref="B16:B18"/>
    <mergeCell ref="C16:C18"/>
    <mergeCell ref="E16:E18"/>
    <mergeCell ref="F16:F18"/>
    <mergeCell ref="H16:H18"/>
    <mergeCell ref="K16:K18"/>
    <mergeCell ref="A14:A15"/>
    <mergeCell ref="B14:B15"/>
    <mergeCell ref="C14:C15"/>
    <mergeCell ref="E14:E15"/>
    <mergeCell ref="F14:F15"/>
    <mergeCell ref="H14:H15"/>
    <mergeCell ref="K8:K10"/>
    <mergeCell ref="A11:A13"/>
    <mergeCell ref="B11:B13"/>
    <mergeCell ref="C11:C13"/>
    <mergeCell ref="E11:E13"/>
    <mergeCell ref="F11:F13"/>
    <mergeCell ref="H11:H13"/>
    <mergeCell ref="K11:K13"/>
    <mergeCell ref="A8:A10"/>
    <mergeCell ref="B8:B10"/>
    <mergeCell ref="C8:C10"/>
    <mergeCell ref="E8:E10"/>
    <mergeCell ref="F8:F10"/>
    <mergeCell ref="H8:H10"/>
    <mergeCell ref="A3:K3"/>
    <mergeCell ref="A5:A7"/>
    <mergeCell ref="B5:B7"/>
    <mergeCell ref="C5:C7"/>
    <mergeCell ref="E5:E7"/>
    <mergeCell ref="F5:F7"/>
    <mergeCell ref="H5:H7"/>
    <mergeCell ref="K5:K7"/>
  </mergeCells>
  <printOptions/>
  <pageMargins left="0.7" right="0.7" top="0.33" bottom="0.42" header="0.3" footer="0.3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3:W131"/>
  <sheetViews>
    <sheetView zoomScalePageLayoutView="0" workbookViewId="0" topLeftCell="C35">
      <selection activeCell="L54" sqref="L54"/>
    </sheetView>
  </sheetViews>
  <sheetFormatPr defaultColWidth="8.88671875" defaultRowHeight="13.5"/>
  <cols>
    <col min="1" max="1" width="4.4453125" style="1" customWidth="1"/>
    <col min="2" max="2" width="9.5546875" style="1" customWidth="1"/>
    <col min="3" max="3" width="7.3359375" style="1" customWidth="1"/>
    <col min="4" max="4" width="5.5546875" style="1" customWidth="1"/>
    <col min="5" max="5" width="13.5546875" style="0" customWidth="1"/>
    <col min="6" max="6" width="12.21484375" style="0" customWidth="1"/>
    <col min="7" max="7" width="13.10546875" style="0" customWidth="1"/>
    <col min="8" max="8" width="11.10546875" style="0" customWidth="1"/>
    <col min="9" max="9" width="12.3359375" style="0" customWidth="1"/>
    <col min="10" max="10" width="12.21484375" style="0" customWidth="1"/>
    <col min="11" max="11" width="12.10546875" style="0" customWidth="1"/>
    <col min="12" max="12" width="12.88671875" style="0" customWidth="1"/>
    <col min="13" max="13" width="18.77734375" style="109" customWidth="1"/>
  </cols>
  <sheetData>
    <row r="1" ht="1.5" customHeight="1" hidden="1"/>
    <row r="2" ht="13.5" hidden="1"/>
    <row r="3" spans="1:11" ht="20.25" customHeight="1">
      <c r="A3" s="291" t="s">
        <v>191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23" s="4" customFormat="1" ht="19.5" customHeight="1">
      <c r="A4" s="32" t="s">
        <v>84</v>
      </c>
      <c r="B4" s="32" t="s">
        <v>96</v>
      </c>
      <c r="C4" s="33" t="s">
        <v>109</v>
      </c>
      <c r="D4" s="34" t="s">
        <v>85</v>
      </c>
      <c r="E4" s="32" t="s">
        <v>110</v>
      </c>
      <c r="F4" s="32" t="s">
        <v>111</v>
      </c>
      <c r="G4" s="165" t="s">
        <v>86</v>
      </c>
      <c r="H4" s="32" t="s">
        <v>126</v>
      </c>
      <c r="I4" s="32" t="s">
        <v>87</v>
      </c>
      <c r="J4" s="32" t="s">
        <v>88</v>
      </c>
      <c r="K4" s="32" t="s">
        <v>61</v>
      </c>
      <c r="L4" s="17"/>
      <c r="M4" s="110"/>
      <c r="N4" s="17"/>
      <c r="O4" s="17"/>
      <c r="P4" s="17"/>
      <c r="Q4" s="17"/>
      <c r="R4" s="17"/>
      <c r="S4" s="17"/>
      <c r="T4" s="17"/>
      <c r="U4"/>
      <c r="V4"/>
      <c r="W4"/>
    </row>
    <row r="5" spans="1:13" s="173" customFormat="1" ht="13.5" customHeight="1">
      <c r="A5" s="332">
        <v>1</v>
      </c>
      <c r="B5" s="334" t="s">
        <v>91</v>
      </c>
      <c r="C5" s="323" t="s">
        <v>60</v>
      </c>
      <c r="D5" s="174">
        <v>13</v>
      </c>
      <c r="E5" s="281">
        <f>SUM(F5+E89+F89+G89+H89+J89+K89)</f>
        <v>17523820</v>
      </c>
      <c r="F5" s="281">
        <f>SUM(G6,H5,I6,J6,K5)</f>
        <v>14888000</v>
      </c>
      <c r="G5" s="167">
        <v>9996000</v>
      </c>
      <c r="H5" s="336">
        <v>1200000</v>
      </c>
      <c r="I5" s="171">
        <f>TRUNC((G5/6*1),-1)</f>
        <v>1666000</v>
      </c>
      <c r="J5" s="171">
        <f>I5</f>
        <v>1666000</v>
      </c>
      <c r="K5" s="336">
        <v>360000</v>
      </c>
      <c r="M5" s="175"/>
    </row>
    <row r="6" spans="1:13" s="173" customFormat="1" ht="13.5" customHeight="1">
      <c r="A6" s="333"/>
      <c r="B6" s="335"/>
      <c r="C6" s="325"/>
      <c r="D6" s="174" t="s">
        <v>112</v>
      </c>
      <c r="E6" s="281"/>
      <c r="F6" s="281"/>
      <c r="G6" s="167">
        <f>SUM(G5)</f>
        <v>9996000</v>
      </c>
      <c r="H6" s="337"/>
      <c r="I6" s="171">
        <f>SUM(I5)</f>
        <v>1666000</v>
      </c>
      <c r="J6" s="171">
        <f>I6</f>
        <v>1666000</v>
      </c>
      <c r="K6" s="337"/>
      <c r="M6" s="175"/>
    </row>
    <row r="7" spans="1:23" ht="10.5" customHeight="1">
      <c r="A7" s="292">
        <v>1</v>
      </c>
      <c r="B7" s="293" t="s">
        <v>91</v>
      </c>
      <c r="C7" s="322" t="s">
        <v>130</v>
      </c>
      <c r="D7" s="172">
        <v>8</v>
      </c>
      <c r="E7" s="285">
        <f>SUM(F7+E91+F91+G91+H91+J91+K91)</f>
        <v>20396240</v>
      </c>
      <c r="F7" s="281">
        <f>TRUNC(G9+H7+I9+J9+K7+E51+F49+G51+H49+I49+J49+K49)</f>
        <v>17328360</v>
      </c>
      <c r="G7" s="171">
        <v>4458000</v>
      </c>
      <c r="H7" s="285">
        <v>900000</v>
      </c>
      <c r="I7" s="31">
        <f>TRUNC((G7/3/2*1),-1)</f>
        <v>743000</v>
      </c>
      <c r="J7" s="31">
        <f>I7</f>
        <v>743000</v>
      </c>
      <c r="K7" s="286">
        <v>240000</v>
      </c>
      <c r="L7" s="10"/>
      <c r="M7" s="111"/>
      <c r="N7" s="10"/>
      <c r="O7" s="10"/>
      <c r="P7" s="4"/>
      <c r="Q7" s="4"/>
      <c r="R7" s="4"/>
      <c r="S7" s="4"/>
      <c r="T7" s="4"/>
      <c r="U7" s="4"/>
      <c r="V7" s="4"/>
      <c r="W7" s="4"/>
    </row>
    <row r="8" spans="1:23" ht="10.5" customHeight="1">
      <c r="A8" s="292"/>
      <c r="B8" s="293"/>
      <c r="C8" s="322"/>
      <c r="D8" s="172">
        <v>9</v>
      </c>
      <c r="E8" s="285"/>
      <c r="F8" s="281"/>
      <c r="G8" s="171">
        <v>4566000</v>
      </c>
      <c r="H8" s="285"/>
      <c r="I8" s="31">
        <f>TRUNC((G8/9/2*3),-1)</f>
        <v>761000</v>
      </c>
      <c r="J8" s="31">
        <f>I8</f>
        <v>761000</v>
      </c>
      <c r="K8" s="287"/>
      <c r="L8" s="10"/>
      <c r="M8" s="111"/>
      <c r="N8" s="10"/>
      <c r="O8" s="10"/>
      <c r="P8" s="4"/>
      <c r="Q8" s="4"/>
      <c r="R8" s="4"/>
      <c r="S8" s="4"/>
      <c r="T8" s="4"/>
      <c r="U8" s="4"/>
      <c r="V8" s="4"/>
      <c r="W8" s="4"/>
    </row>
    <row r="9" spans="1:13" ht="10.5" customHeight="1">
      <c r="A9" s="292"/>
      <c r="B9" s="293"/>
      <c r="C9" s="322"/>
      <c r="D9" s="172" t="s">
        <v>112</v>
      </c>
      <c r="E9" s="285"/>
      <c r="F9" s="281"/>
      <c r="G9" s="167">
        <f>SUM(G7:G8)</f>
        <v>9024000</v>
      </c>
      <c r="H9" s="285"/>
      <c r="I9" s="18">
        <f>SUM(I7:I8)</f>
        <v>1504000</v>
      </c>
      <c r="J9" s="18">
        <f>SUM(J7:J8)</f>
        <v>1504000</v>
      </c>
      <c r="K9" s="288"/>
      <c r="L9" s="6"/>
      <c r="M9" s="20"/>
    </row>
    <row r="10" spans="1:13" s="173" customFormat="1" ht="10.5" customHeight="1">
      <c r="A10" s="332">
        <v>2</v>
      </c>
      <c r="B10" s="334" t="s">
        <v>16</v>
      </c>
      <c r="C10" s="323" t="s">
        <v>60</v>
      </c>
      <c r="D10" s="174">
        <v>12</v>
      </c>
      <c r="E10" s="281">
        <f>SUM(F10+E94+F94+G94+H94+J94+K94)</f>
        <v>19958860</v>
      </c>
      <c r="F10" s="281">
        <f>TRUNC(G12+H10+I12+J12+K10+E54+F52+G54+H52+I52+J52+K52)</f>
        <v>16956770</v>
      </c>
      <c r="G10" s="167">
        <v>8526000</v>
      </c>
      <c r="H10" s="281">
        <v>1200000</v>
      </c>
      <c r="I10" s="171">
        <f>TRUNC((G10/6/2*2),-1)</f>
        <v>1421000</v>
      </c>
      <c r="J10" s="171">
        <f>I10</f>
        <v>1421000</v>
      </c>
      <c r="K10" s="336">
        <v>360000</v>
      </c>
      <c r="L10" s="177"/>
      <c r="M10" s="178"/>
    </row>
    <row r="11" spans="1:13" s="173" customFormat="1" ht="10.5" customHeight="1">
      <c r="A11" s="340"/>
      <c r="B11" s="343"/>
      <c r="C11" s="324"/>
      <c r="D11" s="174"/>
      <c r="E11" s="281"/>
      <c r="F11" s="281"/>
      <c r="G11" s="167">
        <v>0</v>
      </c>
      <c r="H11" s="281"/>
      <c r="I11" s="171">
        <f>TRUNC((G11/6/2*2),-1)</f>
        <v>0</v>
      </c>
      <c r="J11" s="171">
        <f>I11</f>
        <v>0</v>
      </c>
      <c r="K11" s="342"/>
      <c r="L11" s="177"/>
      <c r="M11" s="178"/>
    </row>
    <row r="12" spans="1:13" s="173" customFormat="1" ht="10.5" customHeight="1">
      <c r="A12" s="333"/>
      <c r="B12" s="335"/>
      <c r="C12" s="325"/>
      <c r="D12" s="174" t="s">
        <v>112</v>
      </c>
      <c r="E12" s="281"/>
      <c r="F12" s="281"/>
      <c r="G12" s="167">
        <f>SUM(G10:G11)</f>
        <v>8526000</v>
      </c>
      <c r="H12" s="281"/>
      <c r="I12" s="167">
        <f>SUM(I10:I11)</f>
        <v>1421000</v>
      </c>
      <c r="J12" s="167">
        <f>SUM(J10:J11)</f>
        <v>1421000</v>
      </c>
      <c r="K12" s="337"/>
      <c r="L12" s="177"/>
      <c r="M12" s="178"/>
    </row>
    <row r="13" spans="1:13" ht="10.5" customHeight="1">
      <c r="A13" s="289">
        <v>3</v>
      </c>
      <c r="B13" s="296" t="s">
        <v>131</v>
      </c>
      <c r="C13" s="323" t="s">
        <v>132</v>
      </c>
      <c r="D13" s="172">
        <v>7</v>
      </c>
      <c r="E13" s="285">
        <f>SUM(F13+E97+F97+G97+H97+J97+K97)</f>
        <v>33517860</v>
      </c>
      <c r="F13" s="272">
        <f>TRUNC(G15+H13+I15+J15+K13+E57+F55+G57+H55+I55+J55+K56)</f>
        <v>28476300</v>
      </c>
      <c r="G13" s="167">
        <v>10674000</v>
      </c>
      <c r="H13" s="285">
        <v>1800000</v>
      </c>
      <c r="I13" s="31">
        <f>TRUNC((G13/9/2*3),-1)</f>
        <v>1779000</v>
      </c>
      <c r="J13" s="18">
        <f>(I13)</f>
        <v>1779000</v>
      </c>
      <c r="K13" s="286">
        <v>480000</v>
      </c>
      <c r="L13" s="6"/>
      <c r="M13" s="20"/>
    </row>
    <row r="14" spans="1:13" ht="10.5" customHeight="1">
      <c r="A14" s="295"/>
      <c r="B14" s="297"/>
      <c r="C14" s="324"/>
      <c r="D14" s="172">
        <v>8</v>
      </c>
      <c r="E14" s="285"/>
      <c r="F14" s="273"/>
      <c r="G14" s="167">
        <v>3657000</v>
      </c>
      <c r="H14" s="285"/>
      <c r="I14" s="31">
        <f>TRUNC((G14/3/2*1),-1)</f>
        <v>609500</v>
      </c>
      <c r="J14" s="18">
        <f>(I14)</f>
        <v>609500</v>
      </c>
      <c r="K14" s="287"/>
      <c r="L14" s="6"/>
      <c r="M14" s="20"/>
    </row>
    <row r="15" spans="1:11" ht="10.5" customHeight="1">
      <c r="A15" s="290"/>
      <c r="B15" s="298"/>
      <c r="C15" s="325"/>
      <c r="D15" s="172" t="s">
        <v>112</v>
      </c>
      <c r="E15" s="285"/>
      <c r="F15" s="274"/>
      <c r="G15" s="167">
        <f>SUM(G13:G14)</f>
        <v>14331000</v>
      </c>
      <c r="H15" s="285"/>
      <c r="I15" s="18">
        <f>SUM(I13:I14)</f>
        <v>2388500</v>
      </c>
      <c r="J15" s="18">
        <f>SUM(J13:J14)</f>
        <v>2388500</v>
      </c>
      <c r="K15" s="288"/>
    </row>
    <row r="16" spans="1:11" ht="13.5" customHeight="1">
      <c r="A16" s="289">
        <v>4</v>
      </c>
      <c r="B16" s="296" t="s">
        <v>123</v>
      </c>
      <c r="C16" s="323" t="s">
        <v>17</v>
      </c>
      <c r="D16" s="172">
        <v>17</v>
      </c>
      <c r="E16" s="285">
        <f>SUM(F16+E100+F100+G100+H100+J100+K100)</f>
        <v>39137020</v>
      </c>
      <c r="F16" s="281">
        <f>SUM(G17,H16,I17,J17,K16,E59,F58,G59,H58,I58,J58,K58)</f>
        <v>33250250</v>
      </c>
      <c r="G16" s="167">
        <v>16188000</v>
      </c>
      <c r="H16" s="286">
        <v>2400000</v>
      </c>
      <c r="I16" s="31">
        <f>TRUNC((G16/12*2),-1)</f>
        <v>2698000</v>
      </c>
      <c r="J16" s="31">
        <f>I16</f>
        <v>2698000</v>
      </c>
      <c r="K16" s="286">
        <v>720000</v>
      </c>
    </row>
    <row r="17" spans="1:11" ht="13.5" customHeight="1">
      <c r="A17" s="290"/>
      <c r="B17" s="298"/>
      <c r="C17" s="325"/>
      <c r="D17" s="172" t="s">
        <v>112</v>
      </c>
      <c r="E17" s="285"/>
      <c r="F17" s="281"/>
      <c r="G17" s="167">
        <f>SUM(G16)</f>
        <v>16188000</v>
      </c>
      <c r="H17" s="288"/>
      <c r="I17" s="31">
        <f>TRUNC((G17/12*2),-1)</f>
        <v>2698000</v>
      </c>
      <c r="J17" s="31">
        <f>I17</f>
        <v>2698000</v>
      </c>
      <c r="K17" s="288"/>
    </row>
    <row r="18" spans="1:11" ht="10.5" customHeight="1">
      <c r="A18" s="292">
        <v>5</v>
      </c>
      <c r="B18" s="299" t="s">
        <v>0</v>
      </c>
      <c r="C18" s="326" t="s">
        <v>1</v>
      </c>
      <c r="D18" s="172">
        <v>4</v>
      </c>
      <c r="E18" s="285">
        <f>SUM(F18+E102+F102+G102+H102+J102+K102)</f>
        <v>28865480</v>
      </c>
      <c r="F18" s="281">
        <f>SUM(G20+H18+I20+J20+K18+E62+F60+G62+H60+I60+J60+K60)</f>
        <v>24523710</v>
      </c>
      <c r="G18" s="167">
        <v>5940000</v>
      </c>
      <c r="H18" s="286">
        <v>1800000</v>
      </c>
      <c r="I18" s="31">
        <f>TRUNC((G18/6),-1)</f>
        <v>990000</v>
      </c>
      <c r="J18" s="18">
        <f>(I18)</f>
        <v>990000</v>
      </c>
      <c r="K18" s="285"/>
    </row>
    <row r="19" spans="1:11" ht="10.5" customHeight="1">
      <c r="A19" s="292"/>
      <c r="B19" s="299"/>
      <c r="C19" s="326"/>
      <c r="D19" s="172">
        <v>5</v>
      </c>
      <c r="E19" s="285"/>
      <c r="F19" s="281"/>
      <c r="G19" s="167">
        <v>6108000</v>
      </c>
      <c r="H19" s="287"/>
      <c r="I19" s="31">
        <f>TRUNC((G19/6),-1)</f>
        <v>1018000</v>
      </c>
      <c r="J19" s="18">
        <f>(I19)</f>
        <v>1018000</v>
      </c>
      <c r="K19" s="285"/>
    </row>
    <row r="20" spans="1:11" ht="10.5" customHeight="1">
      <c r="A20" s="292"/>
      <c r="B20" s="299"/>
      <c r="C20" s="326"/>
      <c r="D20" s="172" t="s">
        <v>112</v>
      </c>
      <c r="E20" s="285"/>
      <c r="F20" s="281"/>
      <c r="G20" s="167">
        <f>(G18+G19)</f>
        <v>12048000</v>
      </c>
      <c r="H20" s="288"/>
      <c r="I20" s="18">
        <f>SUM(I18:I19)</f>
        <v>2008000</v>
      </c>
      <c r="J20" s="18">
        <f>SUM(J18:J19)</f>
        <v>2008000</v>
      </c>
      <c r="K20" s="285"/>
    </row>
    <row r="21" spans="1:11" ht="13.5" customHeight="1">
      <c r="A21" s="300">
        <v>6</v>
      </c>
      <c r="B21" s="293" t="s">
        <v>92</v>
      </c>
      <c r="C21" s="322" t="s">
        <v>124</v>
      </c>
      <c r="D21" s="172">
        <v>8</v>
      </c>
      <c r="E21" s="285">
        <f>SUM(F21+E105+F105+G105+H105+J105+K105)</f>
        <v>33088990</v>
      </c>
      <c r="F21" s="281">
        <f>SUM(G22,H21,I22,J22,K21,E64,F63,G64,H63,I63,J63,K63)</f>
        <v>28111940</v>
      </c>
      <c r="G21" s="167">
        <v>13200000</v>
      </c>
      <c r="H21" s="285">
        <v>2400000</v>
      </c>
      <c r="I21" s="31">
        <f>TRUNC((G21/12*2),-1)</f>
        <v>2200000</v>
      </c>
      <c r="J21" s="18">
        <f>(I21)</f>
        <v>2200000</v>
      </c>
      <c r="K21" s="285">
        <v>480000</v>
      </c>
    </row>
    <row r="22" spans="1:11" ht="14.25" customHeight="1">
      <c r="A22" s="300"/>
      <c r="B22" s="293"/>
      <c r="C22" s="322"/>
      <c r="D22" s="172" t="s">
        <v>112</v>
      </c>
      <c r="E22" s="285"/>
      <c r="F22" s="281"/>
      <c r="G22" s="167">
        <f>(G21:G21)</f>
        <v>13200000</v>
      </c>
      <c r="H22" s="285"/>
      <c r="I22" s="18">
        <f>SUM(I21:I21)</f>
        <v>2200000</v>
      </c>
      <c r="J22" s="18">
        <f>(J21:J21)</f>
        <v>2200000</v>
      </c>
      <c r="K22" s="285"/>
    </row>
    <row r="23" spans="1:11" ht="10.5" customHeight="1">
      <c r="A23" s="289">
        <v>8</v>
      </c>
      <c r="B23" s="296" t="s">
        <v>92</v>
      </c>
      <c r="C23" s="323" t="s">
        <v>134</v>
      </c>
      <c r="D23" s="172">
        <v>6</v>
      </c>
      <c r="E23" s="286">
        <f>SUM(F23+E107+F107+G107+H107+J107+K107)</f>
        <v>30510430</v>
      </c>
      <c r="F23" s="272">
        <f>SUM(G25,H23,I25,J25,K23,E67,F65,G67,H65,I65,J65,K65)</f>
        <v>25921220</v>
      </c>
      <c r="G23" s="167">
        <v>7315000</v>
      </c>
      <c r="H23" s="286">
        <v>1800000</v>
      </c>
      <c r="I23" s="31">
        <f>TRUNC((G23/7/2*3),-1)</f>
        <v>1567500</v>
      </c>
      <c r="J23" s="18">
        <f>(I23)</f>
        <v>1567500</v>
      </c>
      <c r="K23" s="286">
        <v>480000</v>
      </c>
    </row>
    <row r="24" spans="1:11" ht="10.5" customHeight="1">
      <c r="A24" s="295"/>
      <c r="B24" s="297"/>
      <c r="C24" s="324"/>
      <c r="D24" s="172">
        <v>7</v>
      </c>
      <c r="E24" s="287"/>
      <c r="F24" s="273"/>
      <c r="G24" s="167">
        <v>5365000</v>
      </c>
      <c r="H24" s="287"/>
      <c r="I24" s="31">
        <f>TRUNC((G24/5/2*1),-1)</f>
        <v>536500</v>
      </c>
      <c r="J24" s="18">
        <f>(I24)</f>
        <v>536500</v>
      </c>
      <c r="K24" s="287"/>
    </row>
    <row r="25" spans="1:11" ht="10.5" customHeight="1">
      <c r="A25" s="290"/>
      <c r="B25" s="298"/>
      <c r="C25" s="325"/>
      <c r="D25" s="172" t="s">
        <v>112</v>
      </c>
      <c r="E25" s="288"/>
      <c r="F25" s="274"/>
      <c r="G25" s="167">
        <f>SUM(G23:G24)</f>
        <v>12680000</v>
      </c>
      <c r="H25" s="288"/>
      <c r="I25" s="18">
        <f>SUM(I23:I24)</f>
        <v>2104000</v>
      </c>
      <c r="J25" s="18">
        <f>SUM(J23:J24)</f>
        <v>2104000</v>
      </c>
      <c r="K25" s="288"/>
    </row>
    <row r="26" spans="1:11" ht="10.5" customHeight="1">
      <c r="A26" s="300">
        <v>9</v>
      </c>
      <c r="B26" s="293" t="s">
        <v>92</v>
      </c>
      <c r="C26" s="322" t="s">
        <v>135</v>
      </c>
      <c r="D26" s="172">
        <v>2</v>
      </c>
      <c r="E26" s="286">
        <f>SUM(F26+E110+F110+G110+H110+J110+K110)</f>
        <v>26850480</v>
      </c>
      <c r="F26" s="281">
        <f>SUM(G28,H26,I28,J28,K26,E70,F68,G70,H68,I68,J68,K68)</f>
        <v>22811780</v>
      </c>
      <c r="G26" s="171">
        <v>8415000</v>
      </c>
      <c r="H26" s="285">
        <v>1800000</v>
      </c>
      <c r="I26" s="31">
        <f>TRUNC((G26/9/2*3),-1)</f>
        <v>1402500</v>
      </c>
      <c r="J26" s="18">
        <f aca="true" t="shared" si="0" ref="J26:J31">(I26)</f>
        <v>1402500</v>
      </c>
      <c r="K26" s="285"/>
    </row>
    <row r="27" spans="1:11" ht="10.5" customHeight="1">
      <c r="A27" s="300"/>
      <c r="B27" s="293"/>
      <c r="C27" s="322"/>
      <c r="D27" s="172">
        <v>3</v>
      </c>
      <c r="E27" s="287"/>
      <c r="F27" s="281"/>
      <c r="G27" s="171">
        <v>2886000</v>
      </c>
      <c r="H27" s="285"/>
      <c r="I27" s="31">
        <f>TRUNC((G27/3/2*1),-1)</f>
        <v>481000</v>
      </c>
      <c r="J27" s="18">
        <f t="shared" si="0"/>
        <v>481000</v>
      </c>
      <c r="K27" s="285"/>
    </row>
    <row r="28" spans="1:11" ht="10.5" customHeight="1">
      <c r="A28" s="300"/>
      <c r="B28" s="293"/>
      <c r="C28" s="322"/>
      <c r="D28" s="172" t="s">
        <v>112</v>
      </c>
      <c r="E28" s="288"/>
      <c r="F28" s="281"/>
      <c r="G28" s="171">
        <f>SUM(G26:G27)</f>
        <v>11301000</v>
      </c>
      <c r="H28" s="285"/>
      <c r="I28" s="18">
        <f>SUM(I26:I27)</f>
        <v>1883500</v>
      </c>
      <c r="J28" s="18">
        <f t="shared" si="0"/>
        <v>1883500</v>
      </c>
      <c r="K28" s="285"/>
    </row>
    <row r="29" spans="1:11" ht="13.5" customHeight="1">
      <c r="A29" s="300">
        <v>10</v>
      </c>
      <c r="B29" s="299" t="s">
        <v>92</v>
      </c>
      <c r="C29" s="326" t="s">
        <v>95</v>
      </c>
      <c r="D29" s="172">
        <v>9</v>
      </c>
      <c r="E29" s="285">
        <f>SUM(F29+E113+F113+G113+H113+J113+K113)</f>
        <v>34806560</v>
      </c>
      <c r="F29" s="281">
        <f>SUM(G30,H29,I30,J30,K29,E72,F71,G72,H71,I71,J71,K71)</f>
        <v>29571150</v>
      </c>
      <c r="G29" s="167">
        <v>13200000</v>
      </c>
      <c r="H29" s="285">
        <v>2400000</v>
      </c>
      <c r="I29" s="31">
        <f>TRUNC((G29/12*2),-1)</f>
        <v>2200000</v>
      </c>
      <c r="J29" s="18">
        <f t="shared" si="0"/>
        <v>2200000</v>
      </c>
      <c r="K29" s="285">
        <v>480000</v>
      </c>
    </row>
    <row r="30" spans="1:11" ht="13.5" customHeight="1">
      <c r="A30" s="300"/>
      <c r="B30" s="299"/>
      <c r="C30" s="326"/>
      <c r="D30" s="172" t="s">
        <v>112</v>
      </c>
      <c r="E30" s="285"/>
      <c r="F30" s="281"/>
      <c r="G30" s="167">
        <f>(G29)</f>
        <v>13200000</v>
      </c>
      <c r="H30" s="285"/>
      <c r="I30" s="18">
        <f>SUM(I29:I29)</f>
        <v>2200000</v>
      </c>
      <c r="J30" s="18">
        <f t="shared" si="0"/>
        <v>2200000</v>
      </c>
      <c r="K30" s="285"/>
    </row>
    <row r="31" spans="1:11" ht="13.5" customHeight="1">
      <c r="A31" s="300">
        <v>11</v>
      </c>
      <c r="B31" s="293" t="s">
        <v>92</v>
      </c>
      <c r="C31" s="322" t="s">
        <v>2</v>
      </c>
      <c r="D31" s="172">
        <v>4</v>
      </c>
      <c r="E31" s="285">
        <f>SUM(F31+E115+F115+G115+H115+J115+K115)</f>
        <v>29047980</v>
      </c>
      <c r="F31" s="281">
        <f>SUM(G32,H31,I32,J32,K31,E74,F73,G74,H73,I73,J73,K73)</f>
        <v>24678760</v>
      </c>
      <c r="G31" s="167">
        <v>11880000</v>
      </c>
      <c r="H31" s="285">
        <v>1800000</v>
      </c>
      <c r="I31" s="31">
        <f>TRUNC((G31/12*2),-1)</f>
        <v>1980000</v>
      </c>
      <c r="J31" s="18">
        <f t="shared" si="0"/>
        <v>1980000</v>
      </c>
      <c r="K31" s="285"/>
    </row>
    <row r="32" spans="1:11" ht="13.5" customHeight="1">
      <c r="A32" s="300"/>
      <c r="B32" s="293"/>
      <c r="C32" s="322"/>
      <c r="D32" s="172" t="s">
        <v>112</v>
      </c>
      <c r="E32" s="285"/>
      <c r="F32" s="281"/>
      <c r="G32" s="167">
        <f>(G31:G31)</f>
        <v>11880000</v>
      </c>
      <c r="H32" s="285"/>
      <c r="I32" s="18">
        <f>SUM(I31:I31)</f>
        <v>1980000</v>
      </c>
      <c r="J32" s="18">
        <f>(J31:J31)</f>
        <v>1980000</v>
      </c>
      <c r="K32" s="285"/>
    </row>
    <row r="33" spans="1:11" ht="10.5" customHeight="1">
      <c r="A33" s="289">
        <v>7</v>
      </c>
      <c r="B33" s="303" t="s">
        <v>93</v>
      </c>
      <c r="C33" s="327" t="s">
        <v>133</v>
      </c>
      <c r="D33" s="172">
        <v>16</v>
      </c>
      <c r="E33" s="286">
        <f>SUM(F33+E117+F117+G117+H117+J117+K117)</f>
        <v>42578860</v>
      </c>
      <c r="F33" s="281">
        <f>TRUNC(G35+H33+I35+J35+K33+E77+F75+G77+H75+I75+J75+K75)</f>
        <v>36174390</v>
      </c>
      <c r="G33" s="167">
        <v>4464000</v>
      </c>
      <c r="H33" s="286">
        <v>1800000</v>
      </c>
      <c r="I33" s="31">
        <f>TRUNC((G33/3/2*1),-1)</f>
        <v>744000</v>
      </c>
      <c r="J33" s="18">
        <f>(I33)</f>
        <v>744000</v>
      </c>
      <c r="K33" s="286">
        <v>720000</v>
      </c>
    </row>
    <row r="34" spans="1:11" ht="10.5" customHeight="1">
      <c r="A34" s="295"/>
      <c r="B34" s="304"/>
      <c r="C34" s="328"/>
      <c r="D34" s="172">
        <v>17</v>
      </c>
      <c r="E34" s="287"/>
      <c r="F34" s="281"/>
      <c r="G34" s="167">
        <v>13698000</v>
      </c>
      <c r="H34" s="287"/>
      <c r="I34" s="31">
        <f>TRUNC((G34/9/2*3),-1)</f>
        <v>2283000</v>
      </c>
      <c r="J34" s="18">
        <f>(I34)</f>
        <v>2283000</v>
      </c>
      <c r="K34" s="287"/>
    </row>
    <row r="35" spans="1:11" ht="10.5" customHeight="1">
      <c r="A35" s="290"/>
      <c r="B35" s="305"/>
      <c r="C35" s="329"/>
      <c r="D35" s="172" t="s">
        <v>112</v>
      </c>
      <c r="E35" s="288"/>
      <c r="F35" s="281"/>
      <c r="G35" s="167">
        <f>SUM(G33:G34)</f>
        <v>18162000</v>
      </c>
      <c r="H35" s="288"/>
      <c r="I35" s="18">
        <f>SUM(I33:I34)</f>
        <v>3027000</v>
      </c>
      <c r="J35" s="18">
        <f>SUM(J33:J34)</f>
        <v>3027000</v>
      </c>
      <c r="K35" s="288"/>
    </row>
    <row r="36" spans="1:11" ht="10.5" customHeight="1">
      <c r="A36" s="300">
        <v>12</v>
      </c>
      <c r="B36" s="293" t="s">
        <v>113</v>
      </c>
      <c r="C36" s="322" t="s">
        <v>104</v>
      </c>
      <c r="D36" s="172">
        <v>8</v>
      </c>
      <c r="E36" s="286">
        <f>SUM(F36+E120+F120+G120+H120+J120+K120)</f>
        <v>32114740</v>
      </c>
      <c r="F36" s="281">
        <f>TRUNC(G38+H36+I38+J38+K36+E80+F78+G80+H78+I78+J78+K78)</f>
        <v>27284230</v>
      </c>
      <c r="G36" s="167">
        <v>5964000</v>
      </c>
      <c r="H36" s="285">
        <v>2400000</v>
      </c>
      <c r="I36" s="31">
        <f>TRUNC((G36/6),-1)</f>
        <v>994000</v>
      </c>
      <c r="J36" s="18">
        <f>(I36)</f>
        <v>994000</v>
      </c>
      <c r="K36" s="286">
        <v>480000</v>
      </c>
    </row>
    <row r="37" spans="1:11" ht="10.5" customHeight="1">
      <c r="A37" s="300"/>
      <c r="B37" s="293"/>
      <c r="C37" s="322"/>
      <c r="D37" s="172">
        <v>9</v>
      </c>
      <c r="E37" s="287"/>
      <c r="F37" s="281"/>
      <c r="G37" s="167">
        <v>6132000</v>
      </c>
      <c r="H37" s="285"/>
      <c r="I37" s="31">
        <f>TRUNC((G37/6),-1)</f>
        <v>1022000</v>
      </c>
      <c r="J37" s="18">
        <f>(I37)</f>
        <v>1022000</v>
      </c>
      <c r="K37" s="287"/>
    </row>
    <row r="38" spans="1:11" ht="10.5" customHeight="1">
      <c r="A38" s="300"/>
      <c r="B38" s="293"/>
      <c r="C38" s="322"/>
      <c r="D38" s="172" t="s">
        <v>112</v>
      </c>
      <c r="E38" s="288"/>
      <c r="F38" s="281"/>
      <c r="G38" s="167">
        <f>SUM(G36:G37)</f>
        <v>12096000</v>
      </c>
      <c r="H38" s="285"/>
      <c r="I38" s="18">
        <f>SUM(I36:I37)</f>
        <v>2016000</v>
      </c>
      <c r="J38" s="18">
        <f>(J36+J37)</f>
        <v>2016000</v>
      </c>
      <c r="K38" s="288"/>
    </row>
    <row r="39" spans="1:11" ht="10.5" customHeight="1">
      <c r="A39" s="300">
        <v>13</v>
      </c>
      <c r="B39" s="293" t="s">
        <v>113</v>
      </c>
      <c r="C39" s="322" t="s">
        <v>101</v>
      </c>
      <c r="D39" s="172">
        <v>8</v>
      </c>
      <c r="E39" s="286">
        <f>SUM(F39+E123+F123+G123+H123+J123+K123)</f>
        <v>32114740</v>
      </c>
      <c r="F39" s="281">
        <f>TRUNC(G41+H39+I41+J41+K39+E83+F81+G83+H81+I81+J81+K81)</f>
        <v>27284230</v>
      </c>
      <c r="G39" s="167">
        <v>5964000</v>
      </c>
      <c r="H39" s="285">
        <v>2400000</v>
      </c>
      <c r="I39" s="31">
        <f>TRUNC((G39/6),-1)</f>
        <v>994000</v>
      </c>
      <c r="J39" s="18">
        <f>(I39)</f>
        <v>994000</v>
      </c>
      <c r="K39" s="286">
        <v>480000</v>
      </c>
    </row>
    <row r="40" spans="1:11" ht="10.5" customHeight="1">
      <c r="A40" s="300"/>
      <c r="B40" s="293"/>
      <c r="C40" s="322"/>
      <c r="D40" s="172">
        <v>9</v>
      </c>
      <c r="E40" s="287"/>
      <c r="F40" s="281"/>
      <c r="G40" s="167">
        <v>6132000</v>
      </c>
      <c r="H40" s="285"/>
      <c r="I40" s="31">
        <f>TRUNC((G40/6),-1)</f>
        <v>1022000</v>
      </c>
      <c r="J40" s="18">
        <f>(I40)</f>
        <v>1022000</v>
      </c>
      <c r="K40" s="287"/>
    </row>
    <row r="41" spans="1:11" ht="10.5" customHeight="1">
      <c r="A41" s="300"/>
      <c r="B41" s="293"/>
      <c r="C41" s="322"/>
      <c r="D41" s="172" t="s">
        <v>112</v>
      </c>
      <c r="E41" s="288"/>
      <c r="F41" s="281"/>
      <c r="G41" s="167">
        <f>(G39+G40)</f>
        <v>12096000</v>
      </c>
      <c r="H41" s="285"/>
      <c r="I41" s="18">
        <f>SUM(I39:I40)</f>
        <v>2016000</v>
      </c>
      <c r="J41" s="18">
        <f>(J39+J40)</f>
        <v>2016000</v>
      </c>
      <c r="K41" s="288"/>
    </row>
    <row r="42" spans="1:11" ht="10.5" customHeight="1">
      <c r="A42" s="300">
        <v>14</v>
      </c>
      <c r="B42" s="293" t="s">
        <v>114</v>
      </c>
      <c r="C42" s="322" t="s">
        <v>136</v>
      </c>
      <c r="D42" s="172">
        <v>3</v>
      </c>
      <c r="E42" s="286">
        <f>SUM(F42+E126+F126+G126+H126+J126+K126)</f>
        <v>25745540</v>
      </c>
      <c r="F42" s="281">
        <f>TRUNC(G44+H42+I44+J44+K42+E86+F84+G86+H84+I84+J84+K84)</f>
        <v>21873070</v>
      </c>
      <c r="G42" s="167">
        <v>5094000</v>
      </c>
      <c r="H42" s="285">
        <v>1800000</v>
      </c>
      <c r="I42" s="31">
        <f>TRUNC((G42/6),-1)</f>
        <v>849000</v>
      </c>
      <c r="J42" s="18">
        <f>(I42)</f>
        <v>849000</v>
      </c>
      <c r="K42" s="287"/>
    </row>
    <row r="43" spans="1:11" ht="10.5" customHeight="1">
      <c r="A43" s="300"/>
      <c r="B43" s="293"/>
      <c r="C43" s="322"/>
      <c r="D43" s="172">
        <v>4</v>
      </c>
      <c r="E43" s="287"/>
      <c r="F43" s="281"/>
      <c r="G43" s="167">
        <v>5268000</v>
      </c>
      <c r="H43" s="285"/>
      <c r="I43" s="31">
        <f>TRUNC((G43/6),-1)</f>
        <v>878000</v>
      </c>
      <c r="J43" s="18">
        <f>(I43)</f>
        <v>878000</v>
      </c>
      <c r="K43" s="287"/>
    </row>
    <row r="44" spans="1:11" ht="10.5" customHeight="1">
      <c r="A44" s="300"/>
      <c r="B44" s="293"/>
      <c r="C44" s="322"/>
      <c r="D44" s="172" t="s">
        <v>112</v>
      </c>
      <c r="E44" s="288"/>
      <c r="F44" s="281"/>
      <c r="G44" s="167">
        <f>(G42+G43)</f>
        <v>10362000</v>
      </c>
      <c r="H44" s="285"/>
      <c r="I44" s="18">
        <f>SUM(I42:I43)</f>
        <v>1727000</v>
      </c>
      <c r="J44" s="18">
        <f>(J42+J43)</f>
        <v>1727000</v>
      </c>
      <c r="K44" s="288"/>
    </row>
    <row r="45" spans="1:16" s="19" customFormat="1" ht="51.75" customHeight="1">
      <c r="A45" s="301" t="s">
        <v>115</v>
      </c>
      <c r="B45" s="301"/>
      <c r="C45" s="301"/>
      <c r="D45" s="301"/>
      <c r="E45" s="28">
        <f aca="true" t="shared" si="1" ref="E45:K45">SUM(E5:E44)</f>
        <v>446257600</v>
      </c>
      <c r="F45" s="28">
        <f t="shared" si="1"/>
        <v>379134160</v>
      </c>
      <c r="G45" s="28">
        <f t="shared" si="1"/>
        <v>370180000</v>
      </c>
      <c r="H45" s="28">
        <f t="shared" si="1"/>
        <v>27900000</v>
      </c>
      <c r="I45" s="28">
        <f t="shared" si="1"/>
        <v>61678000</v>
      </c>
      <c r="J45" s="28">
        <f t="shared" si="1"/>
        <v>61678000</v>
      </c>
      <c r="K45" s="28">
        <f t="shared" si="1"/>
        <v>5280000</v>
      </c>
      <c r="M45" s="112"/>
      <c r="P45"/>
    </row>
    <row r="46" spans="1:18" s="4" customFormat="1" ht="19.5" customHeight="1">
      <c r="A46" s="106" t="s">
        <v>84</v>
      </c>
      <c r="B46" s="106" t="s">
        <v>96</v>
      </c>
      <c r="C46" s="107" t="s">
        <v>109</v>
      </c>
      <c r="D46" s="108" t="s">
        <v>85</v>
      </c>
      <c r="E46" s="32" t="s">
        <v>89</v>
      </c>
      <c r="F46" s="32" t="s">
        <v>116</v>
      </c>
      <c r="G46" s="32" t="s">
        <v>90</v>
      </c>
      <c r="H46" s="32" t="s">
        <v>102</v>
      </c>
      <c r="I46" s="32" t="s">
        <v>105</v>
      </c>
      <c r="J46" s="32" t="s">
        <v>106</v>
      </c>
      <c r="K46" s="32" t="s">
        <v>120</v>
      </c>
      <c r="M46" s="113"/>
      <c r="N46"/>
      <c r="O46"/>
      <c r="P46"/>
      <c r="Q46"/>
      <c r="R46"/>
    </row>
    <row r="47" spans="1:13" s="173" customFormat="1" ht="13.5" customHeight="1">
      <c r="A47" s="332">
        <v>1</v>
      </c>
      <c r="B47" s="334" t="s">
        <v>91</v>
      </c>
      <c r="C47" s="323" t="s">
        <v>60</v>
      </c>
      <c r="D47" s="174">
        <v>13</v>
      </c>
      <c r="E47" s="171">
        <f>TRUNC((G5/6*100%),-1)</f>
        <v>1666000</v>
      </c>
      <c r="F47" s="336">
        <v>300000</v>
      </c>
      <c r="G47" s="171">
        <f>TRUNC((G5/12),-1)</f>
        <v>833000</v>
      </c>
      <c r="H47" s="336">
        <v>660000</v>
      </c>
      <c r="I47" s="338"/>
      <c r="J47" s="330">
        <v>720000</v>
      </c>
      <c r="K47" s="330"/>
      <c r="M47" s="175"/>
    </row>
    <row r="48" spans="1:13" s="173" customFormat="1" ht="13.5" customHeight="1">
      <c r="A48" s="333"/>
      <c r="B48" s="335"/>
      <c r="C48" s="325"/>
      <c r="D48" s="174" t="s">
        <v>112</v>
      </c>
      <c r="E48" s="171">
        <f>TRUNC((G6/12*100%*2),-1)</f>
        <v>1666000</v>
      </c>
      <c r="F48" s="337"/>
      <c r="G48" s="171">
        <f>TRUNC((G6/12),-1)</f>
        <v>833000</v>
      </c>
      <c r="H48" s="337"/>
      <c r="I48" s="338"/>
      <c r="J48" s="331"/>
      <c r="K48" s="331"/>
      <c r="M48" s="175"/>
    </row>
    <row r="49" spans="1:18" ht="10.5" customHeight="1">
      <c r="A49" s="292">
        <v>1</v>
      </c>
      <c r="B49" s="293" t="s">
        <v>91</v>
      </c>
      <c r="C49" s="294" t="s">
        <v>130</v>
      </c>
      <c r="D49" s="172">
        <v>8</v>
      </c>
      <c r="E49" s="31">
        <f>TRUNC((G7/3*85%),-1)</f>
        <v>1263100</v>
      </c>
      <c r="F49" s="285">
        <v>300000</v>
      </c>
      <c r="G49" s="31">
        <f>TRUNC((G7/3*1/2),-1)</f>
        <v>743000</v>
      </c>
      <c r="H49" s="285">
        <v>660000</v>
      </c>
      <c r="I49" s="302">
        <v>0</v>
      </c>
      <c r="J49" s="285">
        <v>0</v>
      </c>
      <c r="K49" s="285">
        <v>480000</v>
      </c>
      <c r="N49" s="4"/>
      <c r="O49" s="4"/>
      <c r="Q49" s="4"/>
      <c r="R49" s="4"/>
    </row>
    <row r="50" spans="1:18" ht="10.5" customHeight="1">
      <c r="A50" s="292"/>
      <c r="B50" s="293"/>
      <c r="C50" s="294"/>
      <c r="D50" s="172">
        <v>9</v>
      </c>
      <c r="E50" s="31">
        <f>TRUNC((G8/9*90%),-1)</f>
        <v>456600</v>
      </c>
      <c r="F50" s="285"/>
      <c r="G50" s="31">
        <f>TRUNC((G8/9*1/2),-1)</f>
        <v>253660</v>
      </c>
      <c r="H50" s="285"/>
      <c r="I50" s="302"/>
      <c r="J50" s="285"/>
      <c r="K50" s="285"/>
      <c r="N50" s="4"/>
      <c r="O50" s="4"/>
      <c r="Q50" s="4"/>
      <c r="R50" s="4"/>
    </row>
    <row r="51" spans="1:16" ht="10.5" customHeight="1">
      <c r="A51" s="292"/>
      <c r="B51" s="293"/>
      <c r="C51" s="294"/>
      <c r="D51" s="172" t="s">
        <v>112</v>
      </c>
      <c r="E51" s="18">
        <f>SUM(E49:E50)</f>
        <v>1719700</v>
      </c>
      <c r="F51" s="285"/>
      <c r="G51" s="18">
        <f>SUM(G49:G50)</f>
        <v>996660</v>
      </c>
      <c r="H51" s="285"/>
      <c r="I51" s="302"/>
      <c r="J51" s="285"/>
      <c r="K51" s="285"/>
      <c r="P51" s="19"/>
    </row>
    <row r="52" spans="1:13" s="173" customFormat="1" ht="10.5" customHeight="1">
      <c r="A52" s="332">
        <v>2</v>
      </c>
      <c r="B52" s="341" t="s">
        <v>16</v>
      </c>
      <c r="C52" s="327" t="s">
        <v>60</v>
      </c>
      <c r="D52" s="174">
        <v>12</v>
      </c>
      <c r="E52" s="171">
        <f>TRUNC((G10/6*100%*1),-1)</f>
        <v>1421000</v>
      </c>
      <c r="F52" s="281">
        <v>300000</v>
      </c>
      <c r="G52" s="171">
        <f>TRUNC((G10/6/2),-1)</f>
        <v>710500</v>
      </c>
      <c r="H52" s="336">
        <v>660000</v>
      </c>
      <c r="I52" s="338">
        <f>TRUNC(((G12+F49+J52)*1/226*1.5)*16,-1)</f>
        <v>937270</v>
      </c>
      <c r="J52" s="330"/>
      <c r="K52" s="330"/>
      <c r="M52" s="175"/>
    </row>
    <row r="53" spans="1:16" s="173" customFormat="1" ht="10.5" customHeight="1">
      <c r="A53" s="340"/>
      <c r="B53" s="341"/>
      <c r="C53" s="328"/>
      <c r="D53" s="174"/>
      <c r="E53" s="171">
        <f>TRUNC((G11/6*100%*1),-1)</f>
        <v>0</v>
      </c>
      <c r="F53" s="281"/>
      <c r="G53" s="171">
        <f>TRUNC((G11/6/2),-1)</f>
        <v>0</v>
      </c>
      <c r="H53" s="342"/>
      <c r="I53" s="338"/>
      <c r="J53" s="339"/>
      <c r="K53" s="339"/>
      <c r="M53" s="175"/>
      <c r="P53" s="176"/>
    </row>
    <row r="54" spans="1:13" s="173" customFormat="1" ht="10.5" customHeight="1">
      <c r="A54" s="333"/>
      <c r="B54" s="341"/>
      <c r="C54" s="329"/>
      <c r="D54" s="174" t="s">
        <v>112</v>
      </c>
      <c r="E54" s="167">
        <f>SUM(E52:E53)</f>
        <v>1421000</v>
      </c>
      <c r="F54" s="281"/>
      <c r="G54" s="171">
        <f>TRUNC((G12/12),-1)</f>
        <v>710500</v>
      </c>
      <c r="H54" s="337"/>
      <c r="I54" s="338"/>
      <c r="J54" s="331"/>
      <c r="K54" s="331"/>
      <c r="M54" s="175"/>
    </row>
    <row r="55" spans="1:11" ht="10.5" customHeight="1">
      <c r="A55" s="289">
        <v>3</v>
      </c>
      <c r="B55" s="296" t="s">
        <v>131</v>
      </c>
      <c r="C55" s="282" t="s">
        <v>132</v>
      </c>
      <c r="D55" s="172">
        <v>7</v>
      </c>
      <c r="E55" s="31">
        <f>TRUNC((G13/9*80%*2),-1)</f>
        <v>1897600</v>
      </c>
      <c r="F55" s="272">
        <v>600000</v>
      </c>
      <c r="G55" s="49">
        <f>TRUNC((G13/9/2*2),-1)</f>
        <v>1186000</v>
      </c>
      <c r="H55" s="272">
        <v>1320000</v>
      </c>
      <c r="I55" s="338">
        <f>TRUNC(((G15+F52+J55)*1/226*1.5)*16,-1)</f>
        <v>1604700</v>
      </c>
      <c r="J55" s="278">
        <v>480000</v>
      </c>
      <c r="K55" s="278"/>
    </row>
    <row r="56" spans="1:11" ht="10.5" customHeight="1">
      <c r="A56" s="295"/>
      <c r="B56" s="297"/>
      <c r="C56" s="283"/>
      <c r="D56" s="172">
        <v>8</v>
      </c>
      <c r="E56" s="31"/>
      <c r="F56" s="273"/>
      <c r="G56" s="49"/>
      <c r="H56" s="273"/>
      <c r="I56" s="338"/>
      <c r="J56" s="279"/>
      <c r="K56" s="279"/>
    </row>
    <row r="57" spans="1:11" ht="10.5" customHeight="1">
      <c r="A57" s="290"/>
      <c r="B57" s="298"/>
      <c r="C57" s="284"/>
      <c r="D57" s="172" t="s">
        <v>112</v>
      </c>
      <c r="E57" s="31">
        <f>SUM(E55:E56)</f>
        <v>1897600</v>
      </c>
      <c r="F57" s="274"/>
      <c r="G57" s="48">
        <f>SUM(G55:G56)</f>
        <v>1186000</v>
      </c>
      <c r="H57" s="274"/>
      <c r="I57" s="338"/>
      <c r="J57" s="280"/>
      <c r="K57" s="280"/>
    </row>
    <row r="58" spans="1:11" ht="13.5" customHeight="1">
      <c r="A58" s="289">
        <v>4</v>
      </c>
      <c r="B58" s="296" t="s">
        <v>123</v>
      </c>
      <c r="C58" s="282" t="s">
        <v>17</v>
      </c>
      <c r="D58" s="172">
        <v>17</v>
      </c>
      <c r="E58" s="31">
        <f>TRUNC((G16/12*100%*2),-1)</f>
        <v>2698000</v>
      </c>
      <c r="F58" s="272">
        <v>600000</v>
      </c>
      <c r="G58" s="31">
        <f>TRUNC((G16/12),-1)</f>
        <v>1349000</v>
      </c>
      <c r="H58" s="272">
        <v>1320000</v>
      </c>
      <c r="I58" s="302">
        <f>TRUNC(((G17+F58+J58)*1/226*1.5)*16,-1)</f>
        <v>1859250</v>
      </c>
      <c r="J58" s="278">
        <v>720000</v>
      </c>
      <c r="K58" s="278"/>
    </row>
    <row r="59" spans="1:11" ht="13.5" customHeight="1">
      <c r="A59" s="290"/>
      <c r="B59" s="298"/>
      <c r="C59" s="284"/>
      <c r="D59" s="172" t="s">
        <v>112</v>
      </c>
      <c r="E59" s="31">
        <f>TRUNC((G17/12*100%*2),-1)</f>
        <v>2698000</v>
      </c>
      <c r="F59" s="274"/>
      <c r="G59" s="31">
        <f>TRUNC((G17/12),-1)</f>
        <v>1349000</v>
      </c>
      <c r="H59" s="274"/>
      <c r="I59" s="302"/>
      <c r="J59" s="280"/>
      <c r="K59" s="280"/>
    </row>
    <row r="60" spans="1:11" ht="13.5" customHeight="1">
      <c r="A60" s="292">
        <v>5</v>
      </c>
      <c r="B60" s="299" t="s">
        <v>92</v>
      </c>
      <c r="C60" s="299" t="s">
        <v>1</v>
      </c>
      <c r="D60" s="172">
        <v>4</v>
      </c>
      <c r="E60" s="31">
        <f>TRUNC((G18/6*65%),-1)</f>
        <v>643500</v>
      </c>
      <c r="F60" s="285">
        <v>600000</v>
      </c>
      <c r="G60" s="18">
        <f>TRUNC((G18/6*50%),-1)</f>
        <v>495000</v>
      </c>
      <c r="H60" s="285">
        <v>1320000</v>
      </c>
      <c r="I60" s="302">
        <f>TRUNC(((G20+F58+J60)*1/226*1.5)*16,-1)</f>
        <v>1419610</v>
      </c>
      <c r="J60" s="302">
        <v>720000</v>
      </c>
      <c r="K60" s="302">
        <v>240000</v>
      </c>
    </row>
    <row r="61" spans="1:11" ht="13.5" customHeight="1">
      <c r="A61" s="292"/>
      <c r="B61" s="299"/>
      <c r="C61" s="299"/>
      <c r="D61" s="172">
        <v>5</v>
      </c>
      <c r="E61" s="31">
        <f>TRUNC((G19/6*70%),-1)</f>
        <v>712600</v>
      </c>
      <c r="F61" s="285"/>
      <c r="G61" s="18">
        <f>TRUNC((G19/6*50%),-1)</f>
        <v>509000</v>
      </c>
      <c r="H61" s="285"/>
      <c r="I61" s="302"/>
      <c r="J61" s="302"/>
      <c r="K61" s="302"/>
    </row>
    <row r="62" spans="1:11" ht="13.5" customHeight="1">
      <c r="A62" s="292"/>
      <c r="B62" s="299"/>
      <c r="C62" s="299"/>
      <c r="D62" s="172" t="s">
        <v>112</v>
      </c>
      <c r="E62" s="18">
        <f>SUM(E60:E61)</f>
        <v>1356100</v>
      </c>
      <c r="F62" s="285"/>
      <c r="G62" s="18">
        <f>SUM(G60:G61)</f>
        <v>1004000</v>
      </c>
      <c r="H62" s="285"/>
      <c r="I62" s="302"/>
      <c r="J62" s="302"/>
      <c r="K62" s="302"/>
    </row>
    <row r="63" spans="1:11" ht="13.5" customHeight="1">
      <c r="A63" s="300">
        <v>6</v>
      </c>
      <c r="B63" s="293" t="s">
        <v>92</v>
      </c>
      <c r="C63" s="294" t="s">
        <v>124</v>
      </c>
      <c r="D63" s="172">
        <v>8</v>
      </c>
      <c r="E63" s="31">
        <f>TRUNC((G21/12*85%*2),-1)</f>
        <v>1870000</v>
      </c>
      <c r="F63" s="285">
        <v>600000</v>
      </c>
      <c r="G63" s="31">
        <f>TRUNC((G21/12),-1)</f>
        <v>1100000</v>
      </c>
      <c r="H63" s="285">
        <v>1320000</v>
      </c>
      <c r="I63" s="302">
        <f>TRUNC(((G22+F63+J63)*1/226*1.5)*16,-1)</f>
        <v>1541940</v>
      </c>
      <c r="J63" s="302">
        <v>720000</v>
      </c>
      <c r="K63" s="302">
        <v>480000</v>
      </c>
    </row>
    <row r="64" spans="1:11" ht="13.5" customHeight="1">
      <c r="A64" s="300"/>
      <c r="B64" s="293"/>
      <c r="C64" s="294"/>
      <c r="D64" s="172" t="s">
        <v>112</v>
      </c>
      <c r="E64" s="18">
        <f>(E63:E63)</f>
        <v>1870000</v>
      </c>
      <c r="F64" s="285"/>
      <c r="G64" s="18">
        <f>SUM(G63:G63)</f>
        <v>1100000</v>
      </c>
      <c r="H64" s="285"/>
      <c r="I64" s="302"/>
      <c r="J64" s="302"/>
      <c r="K64" s="302"/>
    </row>
    <row r="65" spans="1:11" ht="10.5" customHeight="1">
      <c r="A65" s="292">
        <v>8</v>
      </c>
      <c r="B65" s="300" t="s">
        <v>92</v>
      </c>
      <c r="C65" s="299" t="s">
        <v>134</v>
      </c>
      <c r="D65" s="172">
        <v>6</v>
      </c>
      <c r="E65" s="31">
        <f>TRUNC((G23/7*75%*2),-1)</f>
        <v>1567500</v>
      </c>
      <c r="F65" s="285">
        <v>600000</v>
      </c>
      <c r="G65" s="31">
        <f>TRUNC((G23/7/2),-1)</f>
        <v>522500</v>
      </c>
      <c r="H65" s="285">
        <v>1320000</v>
      </c>
      <c r="I65" s="302">
        <f>TRUNC(((G25+F65+J65)*1/226*1.5)*16,-1)</f>
        <v>1486720</v>
      </c>
      <c r="J65" s="275">
        <v>720000</v>
      </c>
      <c r="K65" s="302"/>
    </row>
    <row r="66" spans="1:11" ht="10.5" customHeight="1">
      <c r="A66" s="292"/>
      <c r="B66" s="300"/>
      <c r="C66" s="299"/>
      <c r="D66" s="172">
        <v>7</v>
      </c>
      <c r="E66" s="31"/>
      <c r="F66" s="285"/>
      <c r="G66" s="31">
        <f>TRUNC((G24/5/2),-1)</f>
        <v>536500</v>
      </c>
      <c r="H66" s="285"/>
      <c r="I66" s="302"/>
      <c r="J66" s="276"/>
      <c r="K66" s="302"/>
    </row>
    <row r="67" spans="1:11" ht="10.5" customHeight="1">
      <c r="A67" s="292"/>
      <c r="B67" s="300"/>
      <c r="C67" s="299"/>
      <c r="D67" s="172" t="s">
        <v>112</v>
      </c>
      <c r="E67" s="18">
        <f>SUM(E65:E66)</f>
        <v>1567500</v>
      </c>
      <c r="F67" s="285"/>
      <c r="G67" s="18">
        <f>SUM(G65:G66)</f>
        <v>1059000</v>
      </c>
      <c r="H67" s="285"/>
      <c r="I67" s="302"/>
      <c r="J67" s="277"/>
      <c r="K67" s="302"/>
    </row>
    <row r="68" spans="1:11" ht="10.5" customHeight="1">
      <c r="A68" s="300">
        <v>9</v>
      </c>
      <c r="B68" s="293" t="s">
        <v>92</v>
      </c>
      <c r="C68" s="294" t="s">
        <v>135</v>
      </c>
      <c r="D68" s="172">
        <v>2</v>
      </c>
      <c r="E68" s="31">
        <f>TRUNC((G26/9*55%*2),-1)</f>
        <v>1028500</v>
      </c>
      <c r="F68" s="285">
        <v>600000</v>
      </c>
      <c r="G68" s="31">
        <f>TRUNC((G26/9),-1)</f>
        <v>935000</v>
      </c>
      <c r="H68" s="285">
        <v>1320000</v>
      </c>
      <c r="I68" s="302">
        <f>TRUNC(((G28+F68+J68)*1/226*1.5)*16,-1)</f>
        <v>1340280</v>
      </c>
      <c r="J68" s="275">
        <v>720000</v>
      </c>
      <c r="K68" s="302"/>
    </row>
    <row r="69" spans="1:11" ht="10.5" customHeight="1">
      <c r="A69" s="300"/>
      <c r="B69" s="293"/>
      <c r="C69" s="294"/>
      <c r="D69" s="172">
        <v>3</v>
      </c>
      <c r="E69" s="31"/>
      <c r="F69" s="285"/>
      <c r="G69" s="31"/>
      <c r="H69" s="285"/>
      <c r="I69" s="302"/>
      <c r="J69" s="276"/>
      <c r="K69" s="302"/>
    </row>
    <row r="70" spans="1:11" ht="10.5" customHeight="1">
      <c r="A70" s="300"/>
      <c r="B70" s="293"/>
      <c r="C70" s="294"/>
      <c r="D70" s="172" t="s">
        <v>112</v>
      </c>
      <c r="E70" s="18">
        <f>(E68)</f>
        <v>1028500</v>
      </c>
      <c r="F70" s="285"/>
      <c r="G70" s="18">
        <f>SUM(G68:G68)</f>
        <v>935000</v>
      </c>
      <c r="H70" s="285"/>
      <c r="I70" s="302"/>
      <c r="J70" s="277"/>
      <c r="K70" s="302"/>
    </row>
    <row r="71" spans="1:11" ht="13.5" customHeight="1">
      <c r="A71" s="300">
        <v>10</v>
      </c>
      <c r="B71" s="299" t="s">
        <v>92</v>
      </c>
      <c r="C71" s="299" t="s">
        <v>95</v>
      </c>
      <c r="D71" s="172">
        <v>9</v>
      </c>
      <c r="E71" s="31">
        <f>TRUNC((G29/12*90%*2),-1)</f>
        <v>1980000</v>
      </c>
      <c r="F71" s="285">
        <v>600000</v>
      </c>
      <c r="G71" s="31">
        <f>TRUNC((G29/12),-1)</f>
        <v>1100000</v>
      </c>
      <c r="H71" s="285">
        <v>1320000</v>
      </c>
      <c r="I71" s="302">
        <f>TRUNC(((G30+F65+J71)*1/226*1.5)*30,-1)</f>
        <v>2891150</v>
      </c>
      <c r="J71" s="302">
        <v>720000</v>
      </c>
      <c r="K71" s="302">
        <v>480000</v>
      </c>
    </row>
    <row r="72" spans="1:11" ht="13.5" customHeight="1">
      <c r="A72" s="300"/>
      <c r="B72" s="299"/>
      <c r="C72" s="299"/>
      <c r="D72" s="172" t="s">
        <v>112</v>
      </c>
      <c r="E72" s="18">
        <f>(E71)</f>
        <v>1980000</v>
      </c>
      <c r="F72" s="285"/>
      <c r="G72" s="18">
        <f>SUM(G71:G71)</f>
        <v>1100000</v>
      </c>
      <c r="H72" s="285"/>
      <c r="I72" s="302"/>
      <c r="J72" s="302"/>
      <c r="K72" s="302"/>
    </row>
    <row r="73" spans="1:11" ht="13.5" customHeight="1">
      <c r="A73" s="300">
        <v>11</v>
      </c>
      <c r="B73" s="293" t="s">
        <v>92</v>
      </c>
      <c r="C73" s="294" t="s">
        <v>2</v>
      </c>
      <c r="D73" s="172">
        <v>4</v>
      </c>
      <c r="E73" s="31">
        <f>TRUNC((G31/12*65%*2),-1)</f>
        <v>1287000</v>
      </c>
      <c r="F73" s="285">
        <v>600000</v>
      </c>
      <c r="G73" s="31">
        <f>TRUNC((G31/12),-1)</f>
        <v>990000</v>
      </c>
      <c r="H73" s="285">
        <v>1320000</v>
      </c>
      <c r="I73" s="302">
        <f>TRUNC(((G32+F73+J73)*1/226*1.5)*16,-1)</f>
        <v>1401760</v>
      </c>
      <c r="J73" s="302">
        <v>720000</v>
      </c>
      <c r="K73" s="302">
        <v>720000</v>
      </c>
    </row>
    <row r="74" spans="1:11" ht="13.5" customHeight="1">
      <c r="A74" s="300"/>
      <c r="B74" s="293"/>
      <c r="C74" s="294"/>
      <c r="D74" s="172" t="s">
        <v>112</v>
      </c>
      <c r="E74" s="18">
        <f>(E73:E73)</f>
        <v>1287000</v>
      </c>
      <c r="F74" s="285"/>
      <c r="G74" s="18">
        <f>SUM(G73:G73)</f>
        <v>990000</v>
      </c>
      <c r="H74" s="285"/>
      <c r="I74" s="302"/>
      <c r="J74" s="302"/>
      <c r="K74" s="302"/>
    </row>
    <row r="75" spans="1:11" ht="10.5" customHeight="1">
      <c r="A75" s="292">
        <v>7</v>
      </c>
      <c r="B75" s="294" t="s">
        <v>93</v>
      </c>
      <c r="C75" s="294" t="s">
        <v>133</v>
      </c>
      <c r="D75" s="172">
        <v>16</v>
      </c>
      <c r="E75" s="31">
        <f>TRUNC((G33/3*100%*1),-1)</f>
        <v>1488000</v>
      </c>
      <c r="F75" s="285">
        <v>600000</v>
      </c>
      <c r="G75" s="31">
        <f>TRUNC((G33/3/2),-1)</f>
        <v>744000</v>
      </c>
      <c r="H75" s="285">
        <v>1320000</v>
      </c>
      <c r="I75" s="302">
        <f>TRUNC(((G35+F75+J75)*1/226*1.5)*16,-1)</f>
        <v>2043390</v>
      </c>
      <c r="J75" s="302">
        <v>480000</v>
      </c>
      <c r="K75" s="302">
        <v>480000</v>
      </c>
    </row>
    <row r="76" spans="1:11" ht="10.5" customHeight="1">
      <c r="A76" s="292"/>
      <c r="B76" s="294"/>
      <c r="C76" s="294"/>
      <c r="D76" s="172">
        <v>17</v>
      </c>
      <c r="E76" s="31">
        <f>TRUNC((G34/9*100%*1),-1)</f>
        <v>1522000</v>
      </c>
      <c r="F76" s="285"/>
      <c r="G76" s="31">
        <f>TRUNC((G34/9/2),-1)</f>
        <v>761000</v>
      </c>
      <c r="H76" s="285"/>
      <c r="I76" s="302"/>
      <c r="J76" s="302"/>
      <c r="K76" s="302"/>
    </row>
    <row r="77" spans="1:11" ht="10.5" customHeight="1">
      <c r="A77" s="292"/>
      <c r="B77" s="293"/>
      <c r="C77" s="294"/>
      <c r="D77" s="172" t="s">
        <v>112</v>
      </c>
      <c r="E77" s="18">
        <f>SUM(E75:E76)</f>
        <v>3010000</v>
      </c>
      <c r="F77" s="285"/>
      <c r="G77" s="18">
        <f>SUM(G75:G76)</f>
        <v>1505000</v>
      </c>
      <c r="H77" s="285"/>
      <c r="I77" s="302"/>
      <c r="J77" s="302"/>
      <c r="K77" s="302"/>
    </row>
    <row r="78" spans="1:11" ht="10.5" customHeight="1">
      <c r="A78" s="300">
        <v>12</v>
      </c>
      <c r="B78" s="293" t="s">
        <v>113</v>
      </c>
      <c r="C78" s="294" t="s">
        <v>104</v>
      </c>
      <c r="D78" s="172">
        <v>8</v>
      </c>
      <c r="E78" s="31">
        <f>TRUNC((G36/6*85%),-1)</f>
        <v>844900</v>
      </c>
      <c r="F78" s="285">
        <v>600000</v>
      </c>
      <c r="G78" s="18">
        <f>TRUNC((G36/6/2),-1)</f>
        <v>497000</v>
      </c>
      <c r="H78" s="285">
        <v>1320000</v>
      </c>
      <c r="I78" s="302">
        <f>TRUNC(((G38+F73+J78)*1/226*1.5)*30,-1)</f>
        <v>2623530</v>
      </c>
      <c r="J78" s="302">
        <v>480000</v>
      </c>
      <c r="K78" s="302">
        <v>480000</v>
      </c>
    </row>
    <row r="79" spans="1:11" ht="10.5" customHeight="1">
      <c r="A79" s="300"/>
      <c r="B79" s="293"/>
      <c r="C79" s="294"/>
      <c r="D79" s="172">
        <v>9</v>
      </c>
      <c r="E79" s="31">
        <f>TRUNC((G37/6*90%),-1)</f>
        <v>919800</v>
      </c>
      <c r="F79" s="285"/>
      <c r="G79" s="18">
        <f>TRUNC((G37/6/2),-1)</f>
        <v>511000</v>
      </c>
      <c r="H79" s="285"/>
      <c r="I79" s="302"/>
      <c r="J79" s="302"/>
      <c r="K79" s="302"/>
    </row>
    <row r="80" spans="1:11" ht="10.5" customHeight="1">
      <c r="A80" s="300"/>
      <c r="B80" s="293"/>
      <c r="C80" s="294"/>
      <c r="D80" s="172" t="s">
        <v>112</v>
      </c>
      <c r="E80" s="18">
        <f>SUM(E78:E79)</f>
        <v>1764700</v>
      </c>
      <c r="F80" s="285"/>
      <c r="G80" s="18">
        <f>SUM(G78:G79)</f>
        <v>1008000</v>
      </c>
      <c r="H80" s="285"/>
      <c r="I80" s="302"/>
      <c r="J80" s="302"/>
      <c r="K80" s="302"/>
    </row>
    <row r="81" spans="1:11" ht="10.5" customHeight="1">
      <c r="A81" s="300">
        <v>13</v>
      </c>
      <c r="B81" s="293" t="s">
        <v>113</v>
      </c>
      <c r="C81" s="294" t="s">
        <v>101</v>
      </c>
      <c r="D81" s="172">
        <v>8</v>
      </c>
      <c r="E81" s="31">
        <f>TRUNC((G39/6*85%),-1)</f>
        <v>844900</v>
      </c>
      <c r="F81" s="285">
        <v>600000</v>
      </c>
      <c r="G81" s="18">
        <f>TRUNC((G39/6/2),-1)</f>
        <v>497000</v>
      </c>
      <c r="H81" s="285">
        <v>1320000</v>
      </c>
      <c r="I81" s="302">
        <f>TRUNC(((G41+F78+J81)*1/226*1.5)*30,-1)</f>
        <v>2623530</v>
      </c>
      <c r="J81" s="302">
        <v>480000</v>
      </c>
      <c r="K81" s="302">
        <v>480000</v>
      </c>
    </row>
    <row r="82" spans="1:11" ht="10.5" customHeight="1">
      <c r="A82" s="300"/>
      <c r="B82" s="293"/>
      <c r="C82" s="294"/>
      <c r="D82" s="172">
        <v>9</v>
      </c>
      <c r="E82" s="31">
        <f>TRUNC((G40/6*90%),-1)</f>
        <v>919800</v>
      </c>
      <c r="F82" s="285"/>
      <c r="G82" s="18">
        <f>TRUNC((G40/6/2),-1)</f>
        <v>511000</v>
      </c>
      <c r="H82" s="285"/>
      <c r="I82" s="302"/>
      <c r="J82" s="302"/>
      <c r="K82" s="302"/>
    </row>
    <row r="83" spans="1:11" ht="10.5" customHeight="1">
      <c r="A83" s="300"/>
      <c r="B83" s="293"/>
      <c r="C83" s="294"/>
      <c r="D83" s="172" t="s">
        <v>112</v>
      </c>
      <c r="E83" s="18">
        <f>SUM(E81:E82)</f>
        <v>1764700</v>
      </c>
      <c r="F83" s="285"/>
      <c r="G83" s="18">
        <f>SUM(G81:G82)</f>
        <v>1008000</v>
      </c>
      <c r="H83" s="285"/>
      <c r="I83" s="302"/>
      <c r="J83" s="302"/>
      <c r="K83" s="302"/>
    </row>
    <row r="84" spans="1:11" ht="10.5" customHeight="1">
      <c r="A84" s="300">
        <v>14</v>
      </c>
      <c r="B84" s="293" t="s">
        <v>114</v>
      </c>
      <c r="C84" s="294" t="s">
        <v>136</v>
      </c>
      <c r="D84" s="172">
        <v>3</v>
      </c>
      <c r="E84" s="31">
        <f>TRUNC((G42/9*60%),-1)</f>
        <v>339600</v>
      </c>
      <c r="F84" s="285">
        <v>600000</v>
      </c>
      <c r="G84" s="18">
        <f>TRUNC((G42/9/2),-1)</f>
        <v>283000</v>
      </c>
      <c r="H84" s="286">
        <v>1320000</v>
      </c>
      <c r="I84" s="275">
        <f>TRUNC(((G44+F81+J84)*1/226*1.5)*16,-1)</f>
        <v>1215070</v>
      </c>
      <c r="J84" s="275">
        <v>480000</v>
      </c>
      <c r="K84" s="275"/>
    </row>
    <row r="85" spans="1:11" ht="10.5" customHeight="1">
      <c r="A85" s="300"/>
      <c r="B85" s="293"/>
      <c r="C85" s="294"/>
      <c r="D85" s="172">
        <v>4</v>
      </c>
      <c r="E85" s="31">
        <f>TRUNC((G43/3*65%),-1)</f>
        <v>1141400</v>
      </c>
      <c r="F85" s="285"/>
      <c r="G85" s="18">
        <f>TRUNC((G43/3/2),-1)</f>
        <v>878000</v>
      </c>
      <c r="H85" s="287"/>
      <c r="I85" s="276"/>
      <c r="J85" s="276"/>
      <c r="K85" s="276"/>
    </row>
    <row r="86" spans="1:11" ht="10.5" customHeight="1">
      <c r="A86" s="300"/>
      <c r="B86" s="293"/>
      <c r="C86" s="294"/>
      <c r="D86" s="172" t="s">
        <v>112</v>
      </c>
      <c r="E86" s="18">
        <f>SUM(E84:E85)</f>
        <v>1481000</v>
      </c>
      <c r="F86" s="285"/>
      <c r="G86" s="18">
        <f>SUM(G84:G85)</f>
        <v>1161000</v>
      </c>
      <c r="H86" s="288"/>
      <c r="I86" s="277"/>
      <c r="J86" s="277"/>
      <c r="K86" s="277"/>
    </row>
    <row r="87" spans="1:13" s="19" customFormat="1" ht="54" customHeight="1">
      <c r="A87" s="306" t="s">
        <v>117</v>
      </c>
      <c r="B87" s="307"/>
      <c r="C87" s="307"/>
      <c r="D87" s="308"/>
      <c r="E87" s="50">
        <f>SUM(E48,E51,E54,E57,E59,E62,E64,E67,E70,E72,E74,E77,E80,E83,E86)</f>
        <v>26511800</v>
      </c>
      <c r="F87" s="50">
        <f>SUM(F47:F86)</f>
        <v>8100000</v>
      </c>
      <c r="G87" s="50">
        <f>SUM(G48,G51,G54,G57,G59,G62,G64,,G67,G70,G72,G74+G77,G80,G83,G86)</f>
        <v>15945160</v>
      </c>
      <c r="H87" s="50">
        <f>SUM(H47:H86)</f>
        <v>17820000</v>
      </c>
      <c r="I87" s="50">
        <f>SUM(I47:I86)</f>
        <v>22988200</v>
      </c>
      <c r="J87" s="50">
        <f>SUM(J47:J86)</f>
        <v>8160000</v>
      </c>
      <c r="K87" s="50">
        <f>SUM(K47:K86)</f>
        <v>3840000</v>
      </c>
      <c r="M87" s="112"/>
    </row>
    <row r="88" spans="1:19" s="4" customFormat="1" ht="20.25" customHeight="1">
      <c r="A88" s="106" t="s">
        <v>84</v>
      </c>
      <c r="B88" s="106" t="s">
        <v>96</v>
      </c>
      <c r="C88" s="107" t="s">
        <v>109</v>
      </c>
      <c r="D88" s="108" t="s">
        <v>85</v>
      </c>
      <c r="E88" s="34" t="s">
        <v>118</v>
      </c>
      <c r="F88" s="34" t="s">
        <v>119</v>
      </c>
      <c r="G88" s="34" t="s">
        <v>107</v>
      </c>
      <c r="H88" s="34" t="s">
        <v>108</v>
      </c>
      <c r="I88" s="34" t="s">
        <v>125</v>
      </c>
      <c r="J88" s="34" t="s">
        <v>122</v>
      </c>
      <c r="K88" s="35" t="s">
        <v>3</v>
      </c>
      <c r="L88"/>
      <c r="M88" s="109"/>
      <c r="N88"/>
      <c r="O88"/>
      <c r="P88"/>
      <c r="Q88"/>
      <c r="R88"/>
      <c r="S88"/>
    </row>
    <row r="89" spans="1:11" ht="13.5" customHeight="1">
      <c r="A89" s="289">
        <v>1</v>
      </c>
      <c r="B89" s="296" t="s">
        <v>91</v>
      </c>
      <c r="C89" s="282" t="s">
        <v>60</v>
      </c>
      <c r="D89" s="172">
        <v>17</v>
      </c>
      <c r="E89" s="281">
        <f>TRUNC((F5*4.5%),-1)</f>
        <v>669960</v>
      </c>
      <c r="F89" s="285">
        <f>TRUNC((F5*2.995%),-1)</f>
        <v>445890</v>
      </c>
      <c r="G89" s="285">
        <f>TRUNC((F5*0.9%),-1)</f>
        <v>133990</v>
      </c>
      <c r="H89" s="285">
        <f>TRUNC((F5*0.78%),-1)</f>
        <v>116120</v>
      </c>
      <c r="I89" s="285">
        <f>SUM(E89,F89,G89,H89,)</f>
        <v>1365960</v>
      </c>
      <c r="J89" s="285">
        <f>TRUNC((F5)/12,-1)</f>
        <v>1240660</v>
      </c>
      <c r="K89" s="309">
        <f>TRUNC((F89*6.55%),-1)</f>
        <v>29200</v>
      </c>
    </row>
    <row r="90" spans="1:11" ht="13.5" customHeight="1">
      <c r="A90" s="290"/>
      <c r="B90" s="298"/>
      <c r="C90" s="284"/>
      <c r="D90" s="172" t="s">
        <v>112</v>
      </c>
      <c r="E90" s="281"/>
      <c r="F90" s="285"/>
      <c r="G90" s="285"/>
      <c r="H90" s="285"/>
      <c r="I90" s="285"/>
      <c r="J90" s="285"/>
      <c r="K90" s="311"/>
    </row>
    <row r="91" spans="1:11" ht="10.5" customHeight="1">
      <c r="A91" s="292">
        <v>1</v>
      </c>
      <c r="B91" s="293" t="s">
        <v>91</v>
      </c>
      <c r="C91" s="294" t="s">
        <v>130</v>
      </c>
      <c r="D91" s="172">
        <v>8</v>
      </c>
      <c r="E91" s="285">
        <f>TRUNC((F7*4.5%),-1)</f>
        <v>779770</v>
      </c>
      <c r="F91" s="285">
        <f>TRUNC((F7*2.995%),-1)</f>
        <v>518980</v>
      </c>
      <c r="G91" s="285">
        <f>TRUNC((F7*0.9%),-1)</f>
        <v>155950</v>
      </c>
      <c r="H91" s="285">
        <f>TRUNC((F7*0.78%),-1)</f>
        <v>135160</v>
      </c>
      <c r="I91" s="285">
        <f>SUM(E91,F91,G91,H91,)</f>
        <v>1589860</v>
      </c>
      <c r="J91" s="285">
        <f>TRUNC((F7)/12,-1)</f>
        <v>1444030</v>
      </c>
      <c r="K91" s="309">
        <f>TRUNC((F91*6.55%),-1)</f>
        <v>33990</v>
      </c>
    </row>
    <row r="92" spans="1:11" ht="10.5" customHeight="1">
      <c r="A92" s="292"/>
      <c r="B92" s="293"/>
      <c r="C92" s="294"/>
      <c r="D92" s="172">
        <v>9</v>
      </c>
      <c r="E92" s="285"/>
      <c r="F92" s="285"/>
      <c r="G92" s="285"/>
      <c r="H92" s="285"/>
      <c r="I92" s="285"/>
      <c r="J92" s="285"/>
      <c r="K92" s="310"/>
    </row>
    <row r="93" spans="1:11" ht="10.5" customHeight="1">
      <c r="A93" s="292"/>
      <c r="B93" s="293"/>
      <c r="C93" s="294"/>
      <c r="D93" s="172" t="s">
        <v>112</v>
      </c>
      <c r="E93" s="285"/>
      <c r="F93" s="285"/>
      <c r="G93" s="285"/>
      <c r="H93" s="285"/>
      <c r="I93" s="285"/>
      <c r="J93" s="285"/>
      <c r="K93" s="311"/>
    </row>
    <row r="94" spans="1:11" ht="10.5" customHeight="1">
      <c r="A94" s="289">
        <v>2</v>
      </c>
      <c r="B94" s="314" t="s">
        <v>16</v>
      </c>
      <c r="C94" s="303" t="s">
        <v>60</v>
      </c>
      <c r="D94" s="172">
        <v>12</v>
      </c>
      <c r="E94" s="285">
        <f>TRUNC((F10*4.5%),-1)</f>
        <v>763050</v>
      </c>
      <c r="F94" s="285">
        <f>TRUNC((F10*2.995%),-1)</f>
        <v>507850</v>
      </c>
      <c r="G94" s="285">
        <f>TRUNC((F10*0.9%),-1)</f>
        <v>152610</v>
      </c>
      <c r="H94" s="285">
        <f>TRUNC((F10*0.78%),-1)</f>
        <v>132260</v>
      </c>
      <c r="I94" s="285">
        <f>SUM(E94,F94,G94,H94)</f>
        <v>1555770</v>
      </c>
      <c r="J94" s="285">
        <f>TRUNC((F10)/12,-1)</f>
        <v>1413060</v>
      </c>
      <c r="K94" s="309">
        <f>TRUNC((F94*6.55%),-1)</f>
        <v>33260</v>
      </c>
    </row>
    <row r="95" spans="1:11" ht="10.5" customHeight="1">
      <c r="A95" s="312"/>
      <c r="B95" s="312"/>
      <c r="C95" s="312"/>
      <c r="D95" s="172">
        <v>13</v>
      </c>
      <c r="E95" s="285"/>
      <c r="F95" s="285"/>
      <c r="G95" s="285"/>
      <c r="H95" s="285"/>
      <c r="I95" s="285"/>
      <c r="J95" s="285"/>
      <c r="K95" s="310"/>
    </row>
    <row r="96" spans="1:11" ht="10.5" customHeight="1">
      <c r="A96" s="313"/>
      <c r="B96" s="313"/>
      <c r="C96" s="313"/>
      <c r="D96" s="172" t="s">
        <v>112</v>
      </c>
      <c r="E96" s="285"/>
      <c r="F96" s="285"/>
      <c r="G96" s="285"/>
      <c r="H96" s="285"/>
      <c r="I96" s="285"/>
      <c r="J96" s="285"/>
      <c r="K96" s="311"/>
    </row>
    <row r="97" spans="1:11" ht="10.5" customHeight="1">
      <c r="A97" s="292">
        <v>3</v>
      </c>
      <c r="B97" s="300" t="s">
        <v>131</v>
      </c>
      <c r="C97" s="299" t="s">
        <v>132</v>
      </c>
      <c r="D97" s="172">
        <v>7</v>
      </c>
      <c r="E97" s="281">
        <f>TRUNC((F13*4.5%),-1)</f>
        <v>1281430</v>
      </c>
      <c r="F97" s="285">
        <f>TRUNC((F13*2.995%),-1)</f>
        <v>852860</v>
      </c>
      <c r="G97" s="285">
        <f>TRUNC((F13*0.9%),-1)</f>
        <v>256280</v>
      </c>
      <c r="H97" s="285">
        <f>TRUNC((F13*0.78%),-1)</f>
        <v>222110</v>
      </c>
      <c r="I97" s="285">
        <f>SUM(E97,F97,G97,H97,)</f>
        <v>2612680</v>
      </c>
      <c r="J97" s="285">
        <f>TRUNC((F13)/12,-1)</f>
        <v>2373020</v>
      </c>
      <c r="K97" s="309">
        <f>TRUNC((F97*6.55%),-1)</f>
        <v>55860</v>
      </c>
    </row>
    <row r="98" spans="1:11" ht="10.5" customHeight="1">
      <c r="A98" s="292"/>
      <c r="B98" s="300"/>
      <c r="C98" s="299"/>
      <c r="D98" s="172">
        <v>8</v>
      </c>
      <c r="E98" s="281"/>
      <c r="F98" s="285"/>
      <c r="G98" s="285"/>
      <c r="H98" s="285"/>
      <c r="I98" s="285"/>
      <c r="J98" s="285"/>
      <c r="K98" s="310"/>
    </row>
    <row r="99" spans="1:11" ht="10.5" customHeight="1">
      <c r="A99" s="292"/>
      <c r="B99" s="300"/>
      <c r="C99" s="299"/>
      <c r="D99" s="172" t="s">
        <v>112</v>
      </c>
      <c r="E99" s="281"/>
      <c r="F99" s="285"/>
      <c r="G99" s="285"/>
      <c r="H99" s="285"/>
      <c r="I99" s="285"/>
      <c r="J99" s="285"/>
      <c r="K99" s="311"/>
    </row>
    <row r="100" spans="1:11" ht="13.5" customHeight="1">
      <c r="A100" s="289">
        <v>4</v>
      </c>
      <c r="B100" s="296" t="s">
        <v>123</v>
      </c>
      <c r="C100" s="282" t="s">
        <v>17</v>
      </c>
      <c r="D100" s="172">
        <v>17</v>
      </c>
      <c r="E100" s="281">
        <f>TRUNC((F16*4.5%),-1)</f>
        <v>1496260</v>
      </c>
      <c r="F100" s="285">
        <f>TRUNC((F16*2.995%),-1)</f>
        <v>995840</v>
      </c>
      <c r="G100" s="285">
        <f>TRUNC((F16*0.9%),-1)</f>
        <v>299250</v>
      </c>
      <c r="H100" s="285">
        <f>TRUNC((F16*0.78%),-1)</f>
        <v>259350</v>
      </c>
      <c r="I100" s="285">
        <f>SUM(E100,F100,G100,H100,)</f>
        <v>3050700</v>
      </c>
      <c r="J100" s="285">
        <f>TRUNC((F16)/12,-1)</f>
        <v>2770850</v>
      </c>
      <c r="K100" s="309">
        <f>TRUNC((F100*6.55%),-1)</f>
        <v>65220</v>
      </c>
    </row>
    <row r="101" spans="1:11" ht="13.5" customHeight="1">
      <c r="A101" s="290"/>
      <c r="B101" s="298"/>
      <c r="C101" s="284"/>
      <c r="D101" s="172" t="s">
        <v>112</v>
      </c>
      <c r="E101" s="281"/>
      <c r="F101" s="285"/>
      <c r="G101" s="285"/>
      <c r="H101" s="285"/>
      <c r="I101" s="285"/>
      <c r="J101" s="285"/>
      <c r="K101" s="311"/>
    </row>
    <row r="102" spans="1:11" ht="10.5" customHeight="1">
      <c r="A102" s="292">
        <v>5</v>
      </c>
      <c r="B102" s="299" t="s">
        <v>92</v>
      </c>
      <c r="C102" s="299" t="s">
        <v>1</v>
      </c>
      <c r="D102" s="172">
        <v>4</v>
      </c>
      <c r="E102" s="285">
        <f>TRUNC((F18*4.5%),-1)</f>
        <v>1103560</v>
      </c>
      <c r="F102" s="286">
        <f>TRUNC((F18*2.995%),-1)</f>
        <v>734480</v>
      </c>
      <c r="G102" s="285">
        <f>TRUNC((F18*0.9%),-1)</f>
        <v>220710</v>
      </c>
      <c r="H102" s="285">
        <f>TRUNC((F18*0.78%),-1)</f>
        <v>191280</v>
      </c>
      <c r="I102" s="285">
        <f>SUM(E102,F102,G102,H102)</f>
        <v>2250030</v>
      </c>
      <c r="J102" s="285">
        <f>TRUNC((F18)/12,-1)</f>
        <v>2043640</v>
      </c>
      <c r="K102" s="309">
        <f>TRUNC((F102*6.55%),-1)</f>
        <v>48100</v>
      </c>
    </row>
    <row r="103" spans="1:11" ht="10.5" customHeight="1">
      <c r="A103" s="292"/>
      <c r="B103" s="299"/>
      <c r="C103" s="299"/>
      <c r="D103" s="172">
        <v>5</v>
      </c>
      <c r="E103" s="285"/>
      <c r="F103" s="287"/>
      <c r="G103" s="285"/>
      <c r="H103" s="285"/>
      <c r="I103" s="285"/>
      <c r="J103" s="285"/>
      <c r="K103" s="310"/>
    </row>
    <row r="104" spans="1:11" ht="10.5" customHeight="1">
      <c r="A104" s="292"/>
      <c r="B104" s="299"/>
      <c r="C104" s="299"/>
      <c r="D104" s="172" t="s">
        <v>112</v>
      </c>
      <c r="E104" s="285"/>
      <c r="F104" s="288"/>
      <c r="G104" s="285"/>
      <c r="H104" s="285"/>
      <c r="I104" s="285"/>
      <c r="J104" s="285"/>
      <c r="K104" s="311"/>
    </row>
    <row r="105" spans="1:11" ht="13.5" customHeight="1">
      <c r="A105" s="300">
        <v>6</v>
      </c>
      <c r="B105" s="293" t="s">
        <v>92</v>
      </c>
      <c r="C105" s="294" t="s">
        <v>124</v>
      </c>
      <c r="D105" s="172">
        <v>8</v>
      </c>
      <c r="E105" s="285">
        <f>TRUNC((F21*4.5%),-1)</f>
        <v>1265030</v>
      </c>
      <c r="F105" s="285">
        <f>TRUNC((F21*2.995%),-1)</f>
        <v>841950</v>
      </c>
      <c r="G105" s="285">
        <f>TRUNC((F21*0.9%),-1)</f>
        <v>253000</v>
      </c>
      <c r="H105" s="285">
        <f>TRUNC((F21*0.78%),-1)</f>
        <v>219270</v>
      </c>
      <c r="I105" s="285">
        <f>SUM(E105,F105,G105,H105,)</f>
        <v>2579250</v>
      </c>
      <c r="J105" s="285">
        <f>TRUNC((F21)/12,-1)</f>
        <v>2342660</v>
      </c>
      <c r="K105" s="309">
        <f>TRUNC((F105*6.55%),-1)</f>
        <v>55140</v>
      </c>
    </row>
    <row r="106" spans="1:11" ht="13.5" customHeight="1">
      <c r="A106" s="300"/>
      <c r="B106" s="293"/>
      <c r="C106" s="294"/>
      <c r="D106" s="172" t="s">
        <v>112</v>
      </c>
      <c r="E106" s="285"/>
      <c r="F106" s="285"/>
      <c r="G106" s="285"/>
      <c r="H106" s="285"/>
      <c r="I106" s="285"/>
      <c r="J106" s="285"/>
      <c r="K106" s="311"/>
    </row>
    <row r="107" spans="1:11" ht="10.5" customHeight="1">
      <c r="A107" s="292">
        <v>8</v>
      </c>
      <c r="B107" s="300" t="s">
        <v>92</v>
      </c>
      <c r="C107" s="299" t="s">
        <v>134</v>
      </c>
      <c r="D107" s="172">
        <v>6</v>
      </c>
      <c r="E107" s="285">
        <f>TRUNC((F23*4.5%),-1)</f>
        <v>1166450</v>
      </c>
      <c r="F107" s="285">
        <f>TRUNC((F23*2.995%),-1)</f>
        <v>776340</v>
      </c>
      <c r="G107" s="285">
        <f>TRUNC((F23*0.9%),-1)</f>
        <v>233290</v>
      </c>
      <c r="H107" s="285">
        <f>TRUNC((F23*0.78%),-1)</f>
        <v>202180</v>
      </c>
      <c r="I107" s="285">
        <f>SUM(E107,F107,G107,H107,)</f>
        <v>2378260</v>
      </c>
      <c r="J107" s="285">
        <f>TRUNC((F23)/12,-1)</f>
        <v>2160100</v>
      </c>
      <c r="K107" s="309">
        <f>TRUNC((F107*6.55%),-1)</f>
        <v>50850</v>
      </c>
    </row>
    <row r="108" spans="1:11" ht="10.5" customHeight="1">
      <c r="A108" s="292"/>
      <c r="B108" s="300"/>
      <c r="C108" s="299"/>
      <c r="D108" s="172">
        <v>7</v>
      </c>
      <c r="E108" s="285"/>
      <c r="F108" s="285"/>
      <c r="G108" s="285"/>
      <c r="H108" s="285"/>
      <c r="I108" s="285"/>
      <c r="J108" s="285"/>
      <c r="K108" s="310"/>
    </row>
    <row r="109" spans="1:11" ht="10.5" customHeight="1">
      <c r="A109" s="292"/>
      <c r="B109" s="300"/>
      <c r="C109" s="299"/>
      <c r="D109" s="172" t="s">
        <v>112</v>
      </c>
      <c r="E109" s="285"/>
      <c r="F109" s="285"/>
      <c r="G109" s="285"/>
      <c r="H109" s="285"/>
      <c r="I109" s="285"/>
      <c r="J109" s="285"/>
      <c r="K109" s="311"/>
    </row>
    <row r="110" spans="1:11" ht="10.5" customHeight="1">
      <c r="A110" s="300">
        <v>9</v>
      </c>
      <c r="B110" s="293" t="s">
        <v>92</v>
      </c>
      <c r="C110" s="294" t="s">
        <v>135</v>
      </c>
      <c r="D110" s="172">
        <v>2</v>
      </c>
      <c r="E110" s="285">
        <f>TRUNC((F26*4.5%),-1)</f>
        <v>1026530</v>
      </c>
      <c r="F110" s="285">
        <f>TRUNC((F26*2.995%),-1)</f>
        <v>683210</v>
      </c>
      <c r="G110" s="285">
        <f>TRUNC((F26*0.9%),-1)</f>
        <v>205300</v>
      </c>
      <c r="H110" s="285">
        <f>TRUNC((F26*0.78%),-1)</f>
        <v>177930</v>
      </c>
      <c r="I110" s="285">
        <f>SUM(E110,F110,G110,H110,)</f>
        <v>2092970</v>
      </c>
      <c r="J110" s="285">
        <f>TRUNC((F26)/12,-1)</f>
        <v>1900980</v>
      </c>
      <c r="K110" s="309">
        <f>TRUNC((F110*6.55%),-1)</f>
        <v>44750</v>
      </c>
    </row>
    <row r="111" spans="1:11" ht="10.5" customHeight="1">
      <c r="A111" s="300"/>
      <c r="B111" s="293"/>
      <c r="C111" s="294"/>
      <c r="D111" s="172">
        <v>3</v>
      </c>
      <c r="E111" s="285"/>
      <c r="F111" s="285"/>
      <c r="G111" s="285"/>
      <c r="H111" s="285"/>
      <c r="I111" s="285"/>
      <c r="J111" s="285"/>
      <c r="K111" s="310"/>
    </row>
    <row r="112" spans="1:11" ht="10.5" customHeight="1">
      <c r="A112" s="300"/>
      <c r="B112" s="293"/>
      <c r="C112" s="294"/>
      <c r="D112" s="172" t="s">
        <v>112</v>
      </c>
      <c r="E112" s="285"/>
      <c r="F112" s="285"/>
      <c r="G112" s="285"/>
      <c r="H112" s="285"/>
      <c r="I112" s="285"/>
      <c r="J112" s="285"/>
      <c r="K112" s="311"/>
    </row>
    <row r="113" spans="1:11" ht="13.5" customHeight="1">
      <c r="A113" s="300">
        <v>10</v>
      </c>
      <c r="B113" s="299" t="s">
        <v>92</v>
      </c>
      <c r="C113" s="299" t="s">
        <v>95</v>
      </c>
      <c r="D113" s="172">
        <v>9</v>
      </c>
      <c r="E113" s="285">
        <f>TRUNC((F29*4.5%),-1)</f>
        <v>1330700</v>
      </c>
      <c r="F113" s="285">
        <f>TRUNC((F29*2.995%),-1)</f>
        <v>885650</v>
      </c>
      <c r="G113" s="285">
        <f>TRUNC((F29*0.9%),-1)</f>
        <v>266140</v>
      </c>
      <c r="H113" s="285">
        <f>TRUNC((F29*0.78%),-1)</f>
        <v>230650</v>
      </c>
      <c r="I113" s="285">
        <f>SUM(E113,F113,G113,H113,)</f>
        <v>2713140</v>
      </c>
      <c r="J113" s="285">
        <f>TRUNC((F29)/12,-1)</f>
        <v>2464260</v>
      </c>
      <c r="K113" s="309">
        <f>TRUNC((F113*6.55%),-1)</f>
        <v>58010</v>
      </c>
    </row>
    <row r="114" spans="1:11" ht="13.5" customHeight="1">
      <c r="A114" s="300"/>
      <c r="B114" s="299"/>
      <c r="C114" s="299"/>
      <c r="D114" s="172" t="s">
        <v>112</v>
      </c>
      <c r="E114" s="285"/>
      <c r="F114" s="285"/>
      <c r="G114" s="285"/>
      <c r="H114" s="285"/>
      <c r="I114" s="285"/>
      <c r="J114" s="285"/>
      <c r="K114" s="311"/>
    </row>
    <row r="115" spans="1:11" ht="13.5" customHeight="1">
      <c r="A115" s="300">
        <v>11</v>
      </c>
      <c r="B115" s="293" t="s">
        <v>92</v>
      </c>
      <c r="C115" s="294" t="s">
        <v>2</v>
      </c>
      <c r="D115" s="172">
        <v>4</v>
      </c>
      <c r="E115" s="285">
        <f>TRUNC((F31*4.5%),-1)</f>
        <v>1110540</v>
      </c>
      <c r="F115" s="285">
        <f>TRUNC((F31*2.995%),-1)</f>
        <v>739120</v>
      </c>
      <c r="G115" s="285">
        <f>TRUNC((F31*0.9%),-1)</f>
        <v>222100</v>
      </c>
      <c r="H115" s="285">
        <f>TRUNC((F31*0.78%),-1)</f>
        <v>192490</v>
      </c>
      <c r="I115" s="285">
        <f>SUM(E115,F115,G115,H115,)</f>
        <v>2264250</v>
      </c>
      <c r="J115" s="285">
        <f>TRUNC((F31)/12,-1)</f>
        <v>2056560</v>
      </c>
      <c r="K115" s="309">
        <f>TRUNC((F115*6.55%),-1)</f>
        <v>48410</v>
      </c>
    </row>
    <row r="116" spans="1:11" ht="11.25" customHeight="1">
      <c r="A116" s="300"/>
      <c r="B116" s="293"/>
      <c r="C116" s="294"/>
      <c r="D116" s="172" t="s">
        <v>112</v>
      </c>
      <c r="E116" s="285"/>
      <c r="F116" s="285"/>
      <c r="G116" s="285"/>
      <c r="H116" s="285"/>
      <c r="I116" s="285"/>
      <c r="J116" s="285"/>
      <c r="K116" s="311"/>
    </row>
    <row r="117" spans="1:11" ht="10.5" customHeight="1">
      <c r="A117" s="292">
        <v>7</v>
      </c>
      <c r="B117" s="293" t="s">
        <v>93</v>
      </c>
      <c r="C117" s="294" t="s">
        <v>133</v>
      </c>
      <c r="D117" s="172">
        <v>16</v>
      </c>
      <c r="E117" s="285">
        <f>TRUNC((F33*4.5%),-1)</f>
        <v>1627840</v>
      </c>
      <c r="F117" s="286">
        <f>TRUNC((F33*2.995%),-1)</f>
        <v>1083420</v>
      </c>
      <c r="G117" s="285">
        <f>TRUNC((F33*0.9%),-1)</f>
        <v>325560</v>
      </c>
      <c r="H117" s="285">
        <f>TRUNC((F33*0.78%),-1)</f>
        <v>282160</v>
      </c>
      <c r="I117" s="285">
        <f>SUM(E117,F117,G117,H117,)</f>
        <v>3318980</v>
      </c>
      <c r="J117" s="285">
        <f>TRUNC((F33)/12,-1)</f>
        <v>3014530</v>
      </c>
      <c r="K117" s="309">
        <f>TRUNC((F117*6.55%),-1)</f>
        <v>70960</v>
      </c>
    </row>
    <row r="118" spans="1:11" ht="10.5" customHeight="1">
      <c r="A118" s="292"/>
      <c r="B118" s="293"/>
      <c r="C118" s="294"/>
      <c r="D118" s="172">
        <v>17</v>
      </c>
      <c r="E118" s="285"/>
      <c r="F118" s="287"/>
      <c r="G118" s="285"/>
      <c r="H118" s="285"/>
      <c r="I118" s="285"/>
      <c r="J118" s="285"/>
      <c r="K118" s="310"/>
    </row>
    <row r="119" spans="1:11" ht="10.5" customHeight="1">
      <c r="A119" s="292"/>
      <c r="B119" s="293"/>
      <c r="C119" s="294"/>
      <c r="D119" s="172" t="s">
        <v>112</v>
      </c>
      <c r="E119" s="285"/>
      <c r="F119" s="288"/>
      <c r="G119" s="285"/>
      <c r="H119" s="285"/>
      <c r="I119" s="285"/>
      <c r="J119" s="285"/>
      <c r="K119" s="311"/>
    </row>
    <row r="120" spans="1:11" ht="10.5" customHeight="1">
      <c r="A120" s="300">
        <v>12</v>
      </c>
      <c r="B120" s="293" t="s">
        <v>113</v>
      </c>
      <c r="C120" s="294" t="s">
        <v>104</v>
      </c>
      <c r="D120" s="172">
        <v>8</v>
      </c>
      <c r="E120" s="285">
        <f>TRUNC((F36*4.5%),-1)</f>
        <v>1227790</v>
      </c>
      <c r="F120" s="286">
        <f>TRUNC((F36*2.995%),-1)</f>
        <v>817160</v>
      </c>
      <c r="G120" s="285">
        <f>TRUNC((F36*0.9%),-1)</f>
        <v>245550</v>
      </c>
      <c r="H120" s="285">
        <f>TRUNC((F36*0.78%),-1)</f>
        <v>212810</v>
      </c>
      <c r="I120" s="285">
        <f>SUM(E120,F120,G120,H120)</f>
        <v>2503310</v>
      </c>
      <c r="J120" s="285">
        <f>TRUNC((F36)/12,-1)</f>
        <v>2273680</v>
      </c>
      <c r="K120" s="309">
        <f>TRUNC((F120*6.55%),-1)</f>
        <v>53520</v>
      </c>
    </row>
    <row r="121" spans="1:11" ht="10.5" customHeight="1">
      <c r="A121" s="300"/>
      <c r="B121" s="293"/>
      <c r="C121" s="294"/>
      <c r="D121" s="172">
        <v>9</v>
      </c>
      <c r="E121" s="285"/>
      <c r="F121" s="287"/>
      <c r="G121" s="285"/>
      <c r="H121" s="285"/>
      <c r="I121" s="285"/>
      <c r="J121" s="285"/>
      <c r="K121" s="310"/>
    </row>
    <row r="122" spans="1:11" ht="10.5" customHeight="1">
      <c r="A122" s="300"/>
      <c r="B122" s="293"/>
      <c r="C122" s="294"/>
      <c r="D122" s="172" t="s">
        <v>112</v>
      </c>
      <c r="E122" s="285"/>
      <c r="F122" s="288"/>
      <c r="G122" s="285"/>
      <c r="H122" s="285"/>
      <c r="I122" s="285"/>
      <c r="J122" s="285"/>
      <c r="K122" s="311"/>
    </row>
    <row r="123" spans="1:11" ht="10.5" customHeight="1">
      <c r="A123" s="296">
        <v>13</v>
      </c>
      <c r="B123" s="314" t="s">
        <v>113</v>
      </c>
      <c r="C123" s="303" t="s">
        <v>101</v>
      </c>
      <c r="D123" s="172">
        <v>8</v>
      </c>
      <c r="E123" s="285">
        <f>TRUNC((F39*4.5%),-1)</f>
        <v>1227790</v>
      </c>
      <c r="F123" s="286">
        <f>TRUNC((F39*2.995%),-1)</f>
        <v>817160</v>
      </c>
      <c r="G123" s="286">
        <f>TRUNC((F39*0.9%),-1)</f>
        <v>245550</v>
      </c>
      <c r="H123" s="286">
        <f>TRUNC((F39*0.78%),-1)</f>
        <v>212810</v>
      </c>
      <c r="I123" s="285">
        <f>SUM(E123,F123,G123,H123)</f>
        <v>2503310</v>
      </c>
      <c r="J123" s="285">
        <f>TRUNC((F39)/12,-1)</f>
        <v>2273680</v>
      </c>
      <c r="K123" s="309">
        <f>TRUNC((F123*6.55%),-1)</f>
        <v>53520</v>
      </c>
    </row>
    <row r="124" spans="1:11" ht="10.5" customHeight="1">
      <c r="A124" s="297"/>
      <c r="B124" s="315"/>
      <c r="C124" s="304"/>
      <c r="D124" s="172">
        <v>9</v>
      </c>
      <c r="E124" s="285"/>
      <c r="F124" s="287"/>
      <c r="G124" s="287"/>
      <c r="H124" s="287"/>
      <c r="I124" s="285"/>
      <c r="J124" s="285"/>
      <c r="K124" s="310"/>
    </row>
    <row r="125" spans="1:11" ht="10.5" customHeight="1">
      <c r="A125" s="298"/>
      <c r="B125" s="316"/>
      <c r="C125" s="305"/>
      <c r="D125" s="172" t="s">
        <v>112</v>
      </c>
      <c r="E125" s="285"/>
      <c r="F125" s="288"/>
      <c r="G125" s="288"/>
      <c r="H125" s="288"/>
      <c r="I125" s="285"/>
      <c r="J125" s="285"/>
      <c r="K125" s="311"/>
    </row>
    <row r="126" spans="1:11" ht="10.5" customHeight="1">
      <c r="A126" s="296">
        <v>14</v>
      </c>
      <c r="B126" s="314" t="s">
        <v>114</v>
      </c>
      <c r="C126" s="303" t="s">
        <v>136</v>
      </c>
      <c r="D126" s="172">
        <v>3</v>
      </c>
      <c r="E126" s="285">
        <f>TRUNC((F42*4.5%),-1)</f>
        <v>984280</v>
      </c>
      <c r="F126" s="286">
        <f>TRUNC((F42*2.995%),-1)</f>
        <v>655090</v>
      </c>
      <c r="G126" s="286">
        <f>TRUNC((F42*0.9%),-1)</f>
        <v>196850</v>
      </c>
      <c r="H126" s="286">
        <f>TRUNC((F42*0.78%),-1)</f>
        <v>170600</v>
      </c>
      <c r="I126" s="285">
        <f>SUM(E126,F126,G126,H126)</f>
        <v>2006820</v>
      </c>
      <c r="J126" s="285">
        <f>TRUNC((F42)/12,-1)</f>
        <v>1822750</v>
      </c>
      <c r="K126" s="309">
        <f>TRUNC((F126*6.55%),-1)</f>
        <v>42900</v>
      </c>
    </row>
    <row r="127" spans="1:11" ht="10.5" customHeight="1">
      <c r="A127" s="297"/>
      <c r="B127" s="315"/>
      <c r="C127" s="304"/>
      <c r="D127" s="172">
        <v>4</v>
      </c>
      <c r="E127" s="285"/>
      <c r="F127" s="287"/>
      <c r="G127" s="287"/>
      <c r="H127" s="287"/>
      <c r="I127" s="285"/>
      <c r="J127" s="285"/>
      <c r="K127" s="310"/>
    </row>
    <row r="128" spans="1:11" ht="10.5" customHeight="1">
      <c r="A128" s="298"/>
      <c r="B128" s="316"/>
      <c r="C128" s="305"/>
      <c r="D128" s="172" t="s">
        <v>112</v>
      </c>
      <c r="E128" s="285"/>
      <c r="F128" s="288"/>
      <c r="G128" s="288"/>
      <c r="H128" s="288"/>
      <c r="I128" s="285"/>
      <c r="J128" s="285"/>
      <c r="K128" s="311"/>
    </row>
    <row r="129" spans="1:13" s="19" customFormat="1" ht="51" customHeight="1">
      <c r="A129" s="317" t="s">
        <v>117</v>
      </c>
      <c r="B129" s="318"/>
      <c r="C129" s="318"/>
      <c r="D129" s="319"/>
      <c r="E129" s="50">
        <f aca="true" t="shared" si="2" ref="E129:K129">SUM(E91:E128)</f>
        <v>16391020</v>
      </c>
      <c r="F129" s="50">
        <f t="shared" si="2"/>
        <v>10909110</v>
      </c>
      <c r="G129" s="50">
        <f t="shared" si="2"/>
        <v>3278140</v>
      </c>
      <c r="H129" s="50">
        <f t="shared" si="2"/>
        <v>2841060</v>
      </c>
      <c r="I129" s="50">
        <f t="shared" si="2"/>
        <v>33419330</v>
      </c>
      <c r="J129" s="50">
        <f t="shared" si="2"/>
        <v>30353800</v>
      </c>
      <c r="K129" s="50">
        <f t="shared" si="2"/>
        <v>714490</v>
      </c>
      <c r="M129" s="112"/>
    </row>
    <row r="130" ht="13.5">
      <c r="K130" s="6"/>
    </row>
    <row r="131" ht="13.5">
      <c r="K131" s="6"/>
    </row>
  </sheetData>
  <sheetProtection/>
  <mergeCells count="379">
    <mergeCell ref="A3:K3"/>
    <mergeCell ref="A7:A9"/>
    <mergeCell ref="B7:B9"/>
    <mergeCell ref="C7:C9"/>
    <mergeCell ref="E7:E9"/>
    <mergeCell ref="F7:F9"/>
    <mergeCell ref="H7:H9"/>
    <mergeCell ref="K7:K9"/>
    <mergeCell ref="A5:A6"/>
    <mergeCell ref="B5:B6"/>
    <mergeCell ref="H13:H15"/>
    <mergeCell ref="K13:K15"/>
    <mergeCell ref="A10:A12"/>
    <mergeCell ref="B10:B12"/>
    <mergeCell ref="C10:C12"/>
    <mergeCell ref="E10:E12"/>
    <mergeCell ref="F10:F12"/>
    <mergeCell ref="H10:H12"/>
    <mergeCell ref="C16:C17"/>
    <mergeCell ref="E16:E17"/>
    <mergeCell ref="F16:F17"/>
    <mergeCell ref="H16:H17"/>
    <mergeCell ref="K10:K12"/>
    <mergeCell ref="A13:A15"/>
    <mergeCell ref="B13:B15"/>
    <mergeCell ref="C13:C15"/>
    <mergeCell ref="E13:E15"/>
    <mergeCell ref="F13:F15"/>
    <mergeCell ref="K16:K17"/>
    <mergeCell ref="A18:A20"/>
    <mergeCell ref="B18:B20"/>
    <mergeCell ref="C18:C20"/>
    <mergeCell ref="E18:E20"/>
    <mergeCell ref="F18:F20"/>
    <mergeCell ref="H18:H20"/>
    <mergeCell ref="K18:K20"/>
    <mergeCell ref="A16:A17"/>
    <mergeCell ref="B16:B17"/>
    <mergeCell ref="H23:H25"/>
    <mergeCell ref="K23:K25"/>
    <mergeCell ref="A21:A22"/>
    <mergeCell ref="B21:B22"/>
    <mergeCell ref="C21:C22"/>
    <mergeCell ref="E21:E22"/>
    <mergeCell ref="F21:F22"/>
    <mergeCell ref="H21:H22"/>
    <mergeCell ref="C26:C28"/>
    <mergeCell ref="E26:E28"/>
    <mergeCell ref="F26:F28"/>
    <mergeCell ref="H26:H28"/>
    <mergeCell ref="K21:K22"/>
    <mergeCell ref="A23:A25"/>
    <mergeCell ref="B23:B25"/>
    <mergeCell ref="C23:C25"/>
    <mergeCell ref="E23:E25"/>
    <mergeCell ref="F23:F25"/>
    <mergeCell ref="K26:K28"/>
    <mergeCell ref="A29:A30"/>
    <mergeCell ref="B29:B30"/>
    <mergeCell ref="C29:C30"/>
    <mergeCell ref="E29:E30"/>
    <mergeCell ref="F29:F30"/>
    <mergeCell ref="H29:H30"/>
    <mergeCell ref="K29:K30"/>
    <mergeCell ref="A26:A28"/>
    <mergeCell ref="B26:B28"/>
    <mergeCell ref="A31:A32"/>
    <mergeCell ref="B31:B32"/>
    <mergeCell ref="C31:C32"/>
    <mergeCell ref="E31:E32"/>
    <mergeCell ref="F31:F32"/>
    <mergeCell ref="H31:H32"/>
    <mergeCell ref="F36:F38"/>
    <mergeCell ref="H36:H38"/>
    <mergeCell ref="K31:K32"/>
    <mergeCell ref="A33:A35"/>
    <mergeCell ref="B33:B35"/>
    <mergeCell ref="C33:C35"/>
    <mergeCell ref="E33:E35"/>
    <mergeCell ref="F33:F35"/>
    <mergeCell ref="H33:H35"/>
    <mergeCell ref="K33:K35"/>
    <mergeCell ref="K36:K38"/>
    <mergeCell ref="A39:A41"/>
    <mergeCell ref="B39:B41"/>
    <mergeCell ref="C39:C41"/>
    <mergeCell ref="E39:E41"/>
    <mergeCell ref="F39:F41"/>
    <mergeCell ref="H39:H41"/>
    <mergeCell ref="K39:K41"/>
    <mergeCell ref="A36:A38"/>
    <mergeCell ref="B36:B38"/>
    <mergeCell ref="A42:A44"/>
    <mergeCell ref="B42:B44"/>
    <mergeCell ref="C42:C44"/>
    <mergeCell ref="E42:E44"/>
    <mergeCell ref="F42:F44"/>
    <mergeCell ref="H42:H44"/>
    <mergeCell ref="K42:K44"/>
    <mergeCell ref="A45:D45"/>
    <mergeCell ref="A49:A51"/>
    <mergeCell ref="B49:B51"/>
    <mergeCell ref="C49:C51"/>
    <mergeCell ref="F49:F51"/>
    <mergeCell ref="H49:H51"/>
    <mergeCell ref="I49:I51"/>
    <mergeCell ref="J49:J51"/>
    <mergeCell ref="K49:K51"/>
    <mergeCell ref="A52:A54"/>
    <mergeCell ref="B52:B54"/>
    <mergeCell ref="C52:C54"/>
    <mergeCell ref="F52:F54"/>
    <mergeCell ref="H52:H54"/>
    <mergeCell ref="I52:I54"/>
    <mergeCell ref="J52:J54"/>
    <mergeCell ref="K52:K54"/>
    <mergeCell ref="A55:A57"/>
    <mergeCell ref="B55:B57"/>
    <mergeCell ref="C55:C57"/>
    <mergeCell ref="F55:F57"/>
    <mergeCell ref="H55:H57"/>
    <mergeCell ref="I55:I57"/>
    <mergeCell ref="J55:J57"/>
    <mergeCell ref="K55:K57"/>
    <mergeCell ref="A58:A59"/>
    <mergeCell ref="B58:B59"/>
    <mergeCell ref="C58:C59"/>
    <mergeCell ref="F58:F59"/>
    <mergeCell ref="H58:H59"/>
    <mergeCell ref="I58:I59"/>
    <mergeCell ref="J58:J59"/>
    <mergeCell ref="K58:K59"/>
    <mergeCell ref="A60:A62"/>
    <mergeCell ref="B60:B62"/>
    <mergeCell ref="C60:C62"/>
    <mergeCell ref="F60:F62"/>
    <mergeCell ref="H60:H62"/>
    <mergeCell ref="I60:I62"/>
    <mergeCell ref="J60:J62"/>
    <mergeCell ref="K60:K62"/>
    <mergeCell ref="A63:A64"/>
    <mergeCell ref="B63:B64"/>
    <mergeCell ref="C63:C64"/>
    <mergeCell ref="F63:F64"/>
    <mergeCell ref="H63:H64"/>
    <mergeCell ref="I63:I64"/>
    <mergeCell ref="J63:J64"/>
    <mergeCell ref="K63:K64"/>
    <mergeCell ref="A65:A67"/>
    <mergeCell ref="B65:B67"/>
    <mergeCell ref="C65:C67"/>
    <mergeCell ref="F65:F67"/>
    <mergeCell ref="H65:H67"/>
    <mergeCell ref="I65:I67"/>
    <mergeCell ref="J65:J67"/>
    <mergeCell ref="K65:K67"/>
    <mergeCell ref="A68:A70"/>
    <mergeCell ref="B68:B70"/>
    <mergeCell ref="C68:C70"/>
    <mergeCell ref="F68:F70"/>
    <mergeCell ref="H68:H70"/>
    <mergeCell ref="I68:I70"/>
    <mergeCell ref="J68:J70"/>
    <mergeCell ref="K68:K70"/>
    <mergeCell ref="A71:A72"/>
    <mergeCell ref="B71:B72"/>
    <mergeCell ref="C71:C72"/>
    <mergeCell ref="F71:F72"/>
    <mergeCell ref="H71:H72"/>
    <mergeCell ref="I71:I72"/>
    <mergeCell ref="J71:J72"/>
    <mergeCell ref="K71:K72"/>
    <mergeCell ref="A73:A74"/>
    <mergeCell ref="B73:B74"/>
    <mergeCell ref="C73:C74"/>
    <mergeCell ref="F73:F74"/>
    <mergeCell ref="H73:H74"/>
    <mergeCell ref="I73:I74"/>
    <mergeCell ref="J73:J74"/>
    <mergeCell ref="K73:K74"/>
    <mergeCell ref="A75:A77"/>
    <mergeCell ref="B75:B77"/>
    <mergeCell ref="C75:C77"/>
    <mergeCell ref="F75:F77"/>
    <mergeCell ref="H75:H77"/>
    <mergeCell ref="I75:I77"/>
    <mergeCell ref="J75:J77"/>
    <mergeCell ref="K75:K77"/>
    <mergeCell ref="A78:A80"/>
    <mergeCell ref="B78:B80"/>
    <mergeCell ref="C78:C80"/>
    <mergeCell ref="F78:F80"/>
    <mergeCell ref="H78:H80"/>
    <mergeCell ref="I78:I80"/>
    <mergeCell ref="J81:J83"/>
    <mergeCell ref="K81:K83"/>
    <mergeCell ref="J84:J86"/>
    <mergeCell ref="K84:K86"/>
    <mergeCell ref="A81:A83"/>
    <mergeCell ref="B81:B83"/>
    <mergeCell ref="C81:C83"/>
    <mergeCell ref="F81:F83"/>
    <mergeCell ref="H81:H83"/>
    <mergeCell ref="I81:I83"/>
    <mergeCell ref="A91:A93"/>
    <mergeCell ref="B91:B93"/>
    <mergeCell ref="C91:C93"/>
    <mergeCell ref="E91:E93"/>
    <mergeCell ref="F91:F93"/>
    <mergeCell ref="C84:C86"/>
    <mergeCell ref="F84:F86"/>
    <mergeCell ref="A84:A86"/>
    <mergeCell ref="B84:B86"/>
    <mergeCell ref="G91:G93"/>
    <mergeCell ref="H91:H93"/>
    <mergeCell ref="I91:I93"/>
    <mergeCell ref="J91:J93"/>
    <mergeCell ref="K91:K93"/>
    <mergeCell ref="A94:A96"/>
    <mergeCell ref="B94:B96"/>
    <mergeCell ref="C94:C96"/>
    <mergeCell ref="E94:E96"/>
    <mergeCell ref="F94:F96"/>
    <mergeCell ref="G94:G96"/>
    <mergeCell ref="H94:H96"/>
    <mergeCell ref="I94:I96"/>
    <mergeCell ref="J94:J96"/>
    <mergeCell ref="K94:K96"/>
    <mergeCell ref="A97:A99"/>
    <mergeCell ref="B97:B99"/>
    <mergeCell ref="C97:C99"/>
    <mergeCell ref="E97:E99"/>
    <mergeCell ref="F97:F99"/>
    <mergeCell ref="G97:G99"/>
    <mergeCell ref="H97:H99"/>
    <mergeCell ref="I97:I99"/>
    <mergeCell ref="J97:J99"/>
    <mergeCell ref="K97:K99"/>
    <mergeCell ref="A100:A101"/>
    <mergeCell ref="B100:B101"/>
    <mergeCell ref="C100:C101"/>
    <mergeCell ref="E100:E101"/>
    <mergeCell ref="F100:F101"/>
    <mergeCell ref="G100:G101"/>
    <mergeCell ref="H100:H101"/>
    <mergeCell ref="I100:I101"/>
    <mergeCell ref="J100:J101"/>
    <mergeCell ref="K100:K101"/>
    <mergeCell ref="A102:A104"/>
    <mergeCell ref="B102:B104"/>
    <mergeCell ref="C102:C104"/>
    <mergeCell ref="E102:E104"/>
    <mergeCell ref="F102:F104"/>
    <mergeCell ref="G102:G104"/>
    <mergeCell ref="H102:H104"/>
    <mergeCell ref="I102:I104"/>
    <mergeCell ref="J102:J104"/>
    <mergeCell ref="K102:K104"/>
    <mergeCell ref="A105:A106"/>
    <mergeCell ref="B105:B106"/>
    <mergeCell ref="C105:C106"/>
    <mergeCell ref="E105:E106"/>
    <mergeCell ref="F105:F106"/>
    <mergeCell ref="G105:G106"/>
    <mergeCell ref="H105:H106"/>
    <mergeCell ref="I105:I106"/>
    <mergeCell ref="J105:J106"/>
    <mergeCell ref="K105:K106"/>
    <mergeCell ref="A107:A109"/>
    <mergeCell ref="B107:B109"/>
    <mergeCell ref="C107:C109"/>
    <mergeCell ref="E107:E109"/>
    <mergeCell ref="F107:F109"/>
    <mergeCell ref="G107:G109"/>
    <mergeCell ref="H107:H109"/>
    <mergeCell ref="I107:I109"/>
    <mergeCell ref="J107:J109"/>
    <mergeCell ref="K107:K109"/>
    <mergeCell ref="A110:A112"/>
    <mergeCell ref="B110:B112"/>
    <mergeCell ref="C110:C112"/>
    <mergeCell ref="E110:E112"/>
    <mergeCell ref="F110:F112"/>
    <mergeCell ref="G110:G112"/>
    <mergeCell ref="H110:H112"/>
    <mergeCell ref="I110:I112"/>
    <mergeCell ref="J110:J112"/>
    <mergeCell ref="K110:K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A117:A119"/>
    <mergeCell ref="B117:B119"/>
    <mergeCell ref="C117:C119"/>
    <mergeCell ref="E117:E119"/>
    <mergeCell ref="F117:F119"/>
    <mergeCell ref="G117:G119"/>
    <mergeCell ref="H117:H119"/>
    <mergeCell ref="I117:I119"/>
    <mergeCell ref="J117:J119"/>
    <mergeCell ref="K117:K119"/>
    <mergeCell ref="A120:A122"/>
    <mergeCell ref="B120:B122"/>
    <mergeCell ref="C120:C122"/>
    <mergeCell ref="E120:E122"/>
    <mergeCell ref="F120:F122"/>
    <mergeCell ref="K120:K122"/>
    <mergeCell ref="A123:A125"/>
    <mergeCell ref="B123:B125"/>
    <mergeCell ref="C123:C125"/>
    <mergeCell ref="E123:E125"/>
    <mergeCell ref="F123:F125"/>
    <mergeCell ref="G123:G125"/>
    <mergeCell ref="H123:H125"/>
    <mergeCell ref="G126:G128"/>
    <mergeCell ref="H126:H128"/>
    <mergeCell ref="I120:I122"/>
    <mergeCell ref="J120:J122"/>
    <mergeCell ref="I126:I128"/>
    <mergeCell ref="J126:J128"/>
    <mergeCell ref="G120:G122"/>
    <mergeCell ref="H120:H122"/>
    <mergeCell ref="K126:K128"/>
    <mergeCell ref="A129:D129"/>
    <mergeCell ref="I123:I125"/>
    <mergeCell ref="J123:J125"/>
    <mergeCell ref="K123:K125"/>
    <mergeCell ref="A126:A128"/>
    <mergeCell ref="B126:B128"/>
    <mergeCell ref="C126:C128"/>
    <mergeCell ref="E126:E128"/>
    <mergeCell ref="F126:F128"/>
    <mergeCell ref="K5:K6"/>
    <mergeCell ref="H89:H90"/>
    <mergeCell ref="I89:I90"/>
    <mergeCell ref="F89:F90"/>
    <mergeCell ref="G89:G90"/>
    <mergeCell ref="A87:D87"/>
    <mergeCell ref="H84:H86"/>
    <mergeCell ref="I84:I86"/>
    <mergeCell ref="J78:J80"/>
    <mergeCell ref="K78:K80"/>
    <mergeCell ref="C47:C48"/>
    <mergeCell ref="F47:F48"/>
    <mergeCell ref="H47:H48"/>
    <mergeCell ref="I47:I48"/>
    <mergeCell ref="C5:C6"/>
    <mergeCell ref="E5:E6"/>
    <mergeCell ref="F5:F6"/>
    <mergeCell ref="H5:H6"/>
    <mergeCell ref="C36:C38"/>
    <mergeCell ref="E36:E38"/>
    <mergeCell ref="J89:J90"/>
    <mergeCell ref="K89:K90"/>
    <mergeCell ref="J47:J48"/>
    <mergeCell ref="K47:K48"/>
    <mergeCell ref="A89:A90"/>
    <mergeCell ref="B89:B90"/>
    <mergeCell ref="C89:C90"/>
    <mergeCell ref="E89:E90"/>
    <mergeCell ref="A47:A48"/>
    <mergeCell ref="B47:B48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zoomScalePageLayoutView="0" workbookViewId="0" topLeftCell="A1">
      <selection activeCell="K17" sqref="K17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zoomScalePageLayoutView="0" workbookViewId="0" topLeftCell="A1">
      <selection activeCell="K17" sqref="K17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zoomScalePageLayoutView="0" workbookViewId="0" topLeftCell="A1">
      <selection activeCell="K17" sqref="K17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O58"/>
  <sheetViews>
    <sheetView zoomScalePageLayoutView="0" workbookViewId="0" topLeftCell="A25">
      <selection activeCell="E16" sqref="E16:E17"/>
    </sheetView>
  </sheetViews>
  <sheetFormatPr defaultColWidth="8.88671875" defaultRowHeight="13.5"/>
  <cols>
    <col min="1" max="2" width="4.88671875" style="0" customWidth="1"/>
    <col min="3" max="3" width="7.10546875" style="0" customWidth="1"/>
    <col min="4" max="5" width="8.3359375" style="0" customWidth="1"/>
    <col min="6" max="6" width="8.6640625" style="0" customWidth="1"/>
    <col min="7" max="7" width="5.5546875" style="0" customWidth="1"/>
    <col min="8" max="8" width="5.3359375" style="0" customWidth="1"/>
    <col min="9" max="9" width="7.10546875" style="0" customWidth="1"/>
    <col min="10" max="11" width="8.3359375" style="0" customWidth="1"/>
    <col min="12" max="12" width="8.6640625" style="0" customWidth="1"/>
    <col min="13" max="13" width="19.99609375" style="0" customWidth="1"/>
  </cols>
  <sheetData>
    <row r="2" spans="1:12" ht="20.25">
      <c r="A2" s="210" t="s">
        <v>98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ht="18.75">
      <c r="A3" s="208" t="s">
        <v>157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ht="18.75">
      <c r="A4" s="208" t="s">
        <v>207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>
      <c r="A5" s="208" t="s">
        <v>218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>
      <c r="A6" s="208" t="s">
        <v>217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1:12" ht="19.5" customHeight="1" thickBot="1">
      <c r="A7" s="228" t="s">
        <v>15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</row>
    <row r="8" spans="1:12" ht="22.5" customHeight="1" thickBot="1">
      <c r="A8" s="229" t="s">
        <v>62</v>
      </c>
      <c r="B8" s="229"/>
      <c r="C8" s="229"/>
      <c r="D8" s="229"/>
      <c r="E8" s="229"/>
      <c r="F8" s="229"/>
      <c r="G8" s="230" t="s">
        <v>100</v>
      </c>
      <c r="H8" s="229"/>
      <c r="I8" s="229"/>
      <c r="J8" s="229"/>
      <c r="K8" s="229"/>
      <c r="L8" s="229"/>
    </row>
    <row r="9" spans="1:12" ht="22.5" customHeight="1" thickTop="1">
      <c r="A9" s="231" t="s">
        <v>74</v>
      </c>
      <c r="B9" s="233" t="s">
        <v>64</v>
      </c>
      <c r="C9" s="233" t="s">
        <v>75</v>
      </c>
      <c r="D9" s="235" t="s">
        <v>211</v>
      </c>
      <c r="E9" s="235" t="s">
        <v>212</v>
      </c>
      <c r="F9" s="130" t="s">
        <v>94</v>
      </c>
      <c r="G9" s="236" t="s">
        <v>74</v>
      </c>
      <c r="H9" s="233" t="s">
        <v>64</v>
      </c>
      <c r="I9" s="233" t="s">
        <v>75</v>
      </c>
      <c r="J9" s="235" t="s">
        <v>211</v>
      </c>
      <c r="K9" s="235" t="s">
        <v>212</v>
      </c>
      <c r="L9" s="130" t="s">
        <v>94</v>
      </c>
    </row>
    <row r="10" spans="1:12" ht="22.5" customHeight="1" thickBot="1">
      <c r="A10" s="232"/>
      <c r="B10" s="234"/>
      <c r="C10" s="234"/>
      <c r="D10" s="233"/>
      <c r="E10" s="233"/>
      <c r="F10" s="69" t="s">
        <v>33</v>
      </c>
      <c r="G10" s="237"/>
      <c r="H10" s="234"/>
      <c r="I10" s="234"/>
      <c r="J10" s="233"/>
      <c r="K10" s="233"/>
      <c r="L10" s="69" t="s">
        <v>33</v>
      </c>
    </row>
    <row r="11" spans="1:12" ht="26.25" customHeight="1" thickBot="1" thickTop="1">
      <c r="A11" s="238" t="s">
        <v>65</v>
      </c>
      <c r="B11" s="239"/>
      <c r="C11" s="239"/>
      <c r="D11" s="131">
        <f>TRUNC(D12+M17+D15+D18+D21+D24)</f>
        <v>786303</v>
      </c>
      <c r="E11" s="131">
        <f>TRUNC(E12+N17+E15+E18+E21+E24)</f>
        <v>792494</v>
      </c>
      <c r="F11" s="132">
        <f>TRUNC(E11-D11)</f>
        <v>6191</v>
      </c>
      <c r="G11" s="240" t="s">
        <v>63</v>
      </c>
      <c r="H11" s="239"/>
      <c r="I11" s="239"/>
      <c r="J11" s="131">
        <f>TRUNC(J12+J18+J21+J28+J32+J40+J43+J45)</f>
        <v>786303</v>
      </c>
      <c r="K11" s="131">
        <f>TRUNC(K12+K18+K21+K28+K32+K40+K43+K45)</f>
        <v>792494</v>
      </c>
      <c r="L11" s="132">
        <f>TRUNC(K11-J11)</f>
        <v>6191</v>
      </c>
    </row>
    <row r="12" spans="1:12" ht="30" customHeight="1" thickTop="1">
      <c r="A12" s="227" t="s">
        <v>148</v>
      </c>
      <c r="B12" s="243" t="s">
        <v>148</v>
      </c>
      <c r="C12" s="129" t="s">
        <v>19</v>
      </c>
      <c r="D12" s="117">
        <f>TRUNC(D13+D14)</f>
        <v>698146</v>
      </c>
      <c r="E12" s="117">
        <f>TRUNC(E13+E14)</f>
        <v>698146</v>
      </c>
      <c r="F12" s="118">
        <f aca="true" t="shared" si="0" ref="F12:F33">SUM(E12-D12)</f>
        <v>0</v>
      </c>
      <c r="G12" s="227" t="s">
        <v>5</v>
      </c>
      <c r="H12" s="243" t="s">
        <v>6</v>
      </c>
      <c r="I12" s="116" t="s">
        <v>19</v>
      </c>
      <c r="J12" s="117">
        <f>TRUNC(J13+J14+J15+J16+J17)</f>
        <v>458193</v>
      </c>
      <c r="K12" s="117">
        <f>TRUNC(K13+K14+K15+K16+K17)</f>
        <v>458193</v>
      </c>
      <c r="L12" s="133">
        <f aca="true" t="shared" si="1" ref="L12:L31">TRUNC(K12-J12)</f>
        <v>0</v>
      </c>
    </row>
    <row r="13" spans="1:13" ht="30" customHeight="1">
      <c r="A13" s="224"/>
      <c r="B13" s="220"/>
      <c r="C13" s="115" t="s">
        <v>156</v>
      </c>
      <c r="D13" s="122">
        <v>148122</v>
      </c>
      <c r="E13" s="122">
        <f>'2013세입예산(추경)'!E9</f>
        <v>148122</v>
      </c>
      <c r="F13" s="134">
        <f t="shared" si="0"/>
        <v>0</v>
      </c>
      <c r="G13" s="224"/>
      <c r="H13" s="220"/>
      <c r="I13" s="53" t="s">
        <v>36</v>
      </c>
      <c r="J13" s="122">
        <v>193180</v>
      </c>
      <c r="K13" s="122">
        <f>'2013세출예산(추경)'!E6</f>
        <v>193180</v>
      </c>
      <c r="L13" s="123">
        <f t="shared" si="1"/>
        <v>0</v>
      </c>
      <c r="M13" s="241"/>
    </row>
    <row r="14" spans="1:13" ht="30" customHeight="1">
      <c r="A14" s="223"/>
      <c r="B14" s="221"/>
      <c r="C14" s="115" t="s">
        <v>155</v>
      </c>
      <c r="D14" s="122">
        <v>550024</v>
      </c>
      <c r="E14" s="122">
        <f>'2013세입예산(추경)'!E10</f>
        <v>550024</v>
      </c>
      <c r="F14" s="134">
        <f t="shared" si="0"/>
        <v>0</v>
      </c>
      <c r="G14" s="224"/>
      <c r="H14" s="220"/>
      <c r="I14" s="53" t="s">
        <v>37</v>
      </c>
      <c r="J14" s="122">
        <v>196197</v>
      </c>
      <c r="K14" s="122">
        <f>'2013세출예산(추경)'!E7</f>
        <v>196197</v>
      </c>
      <c r="L14" s="123">
        <f t="shared" si="1"/>
        <v>0</v>
      </c>
      <c r="M14" s="242"/>
    </row>
    <row r="15" spans="1:12" ht="30" customHeight="1">
      <c r="A15" s="222" t="s">
        <v>149</v>
      </c>
      <c r="B15" s="216" t="s">
        <v>8</v>
      </c>
      <c r="C15" s="136" t="s">
        <v>19</v>
      </c>
      <c r="D15" s="125">
        <f>SUM(D16:D17)</f>
        <v>51000</v>
      </c>
      <c r="E15" s="125">
        <f>SUM(E16:E17)</f>
        <v>57181</v>
      </c>
      <c r="F15" s="126">
        <f t="shared" si="0"/>
        <v>6181</v>
      </c>
      <c r="G15" s="224"/>
      <c r="H15" s="220"/>
      <c r="I15" s="149" t="s">
        <v>159</v>
      </c>
      <c r="J15" s="122">
        <v>32448</v>
      </c>
      <c r="K15" s="122">
        <f>'2013세출예산(추경)'!E18</f>
        <v>32448</v>
      </c>
      <c r="L15" s="123">
        <f t="shared" si="1"/>
        <v>0</v>
      </c>
    </row>
    <row r="16" spans="1:12" ht="30" customHeight="1">
      <c r="A16" s="224"/>
      <c r="B16" s="217"/>
      <c r="C16" s="52" t="s">
        <v>20</v>
      </c>
      <c r="D16" s="122">
        <v>43000</v>
      </c>
      <c r="E16" s="122">
        <f>'2013세입예산(추경)'!E14</f>
        <v>50260</v>
      </c>
      <c r="F16" s="134">
        <f t="shared" si="0"/>
        <v>7260</v>
      </c>
      <c r="G16" s="224"/>
      <c r="H16" s="220"/>
      <c r="I16" s="52" t="s">
        <v>38</v>
      </c>
      <c r="J16" s="122">
        <v>35368</v>
      </c>
      <c r="K16" s="122">
        <f>'2013세출예산(추경)'!E19</f>
        <v>35368</v>
      </c>
      <c r="L16" s="123">
        <f t="shared" si="1"/>
        <v>0</v>
      </c>
    </row>
    <row r="17" spans="1:12" ht="30" customHeight="1">
      <c r="A17" s="223"/>
      <c r="B17" s="218"/>
      <c r="C17" s="52" t="s">
        <v>21</v>
      </c>
      <c r="D17" s="122">
        <v>8000</v>
      </c>
      <c r="E17" s="122">
        <f>'2013세입예산(추경)'!E15</f>
        <v>6921</v>
      </c>
      <c r="F17" s="134">
        <f t="shared" si="0"/>
        <v>-1079</v>
      </c>
      <c r="G17" s="224"/>
      <c r="H17" s="220"/>
      <c r="I17" s="52" t="s">
        <v>39</v>
      </c>
      <c r="J17" s="122">
        <v>1000</v>
      </c>
      <c r="K17" s="122">
        <f>'2013세출예산(추경)'!E20</f>
        <v>1000</v>
      </c>
      <c r="L17" s="123">
        <f t="shared" si="1"/>
        <v>0</v>
      </c>
    </row>
    <row r="18" spans="1:15" ht="30" customHeight="1">
      <c r="A18" s="222" t="s">
        <v>9</v>
      </c>
      <c r="B18" s="216" t="s">
        <v>9</v>
      </c>
      <c r="C18" s="136" t="s">
        <v>19</v>
      </c>
      <c r="D18" s="125">
        <f>TRUNC(D19+D20)</f>
        <v>4250</v>
      </c>
      <c r="E18" s="125">
        <f>TRUNC(E19+E20)</f>
        <v>4250</v>
      </c>
      <c r="F18" s="126">
        <f t="shared" si="0"/>
        <v>0</v>
      </c>
      <c r="G18" s="224"/>
      <c r="H18" s="219" t="s">
        <v>7</v>
      </c>
      <c r="I18" s="136" t="s">
        <v>19</v>
      </c>
      <c r="J18" s="125">
        <f>TRUNC(J19+J20)</f>
        <v>2000</v>
      </c>
      <c r="K18" s="125">
        <f>SUM(K19+K20)</f>
        <v>2000</v>
      </c>
      <c r="L18" s="135">
        <f t="shared" si="1"/>
        <v>0</v>
      </c>
      <c r="O18" s="21"/>
    </row>
    <row r="19" spans="1:12" ht="39" customHeight="1">
      <c r="A19" s="224"/>
      <c r="B19" s="217"/>
      <c r="C19" s="52" t="s">
        <v>34</v>
      </c>
      <c r="D19" s="122">
        <v>0</v>
      </c>
      <c r="E19" s="122">
        <f>'2013세입예산(추경)'!E17</f>
        <v>0</v>
      </c>
      <c r="F19" s="126">
        <f t="shared" si="0"/>
        <v>0</v>
      </c>
      <c r="G19" s="224"/>
      <c r="H19" s="220"/>
      <c r="I19" s="52" t="s">
        <v>56</v>
      </c>
      <c r="J19" s="137">
        <v>1000</v>
      </c>
      <c r="K19" s="137">
        <f>'2013세출예산(추경)'!E22</f>
        <v>1000</v>
      </c>
      <c r="L19" s="135">
        <f t="shared" si="1"/>
        <v>0</v>
      </c>
    </row>
    <row r="20" spans="1:12" ht="42.75" customHeight="1">
      <c r="A20" s="223"/>
      <c r="B20" s="218"/>
      <c r="C20" s="52" t="s">
        <v>150</v>
      </c>
      <c r="D20" s="122">
        <v>4250</v>
      </c>
      <c r="E20" s="122">
        <f>'2013세입예산(추경)'!E18</f>
        <v>4250</v>
      </c>
      <c r="F20" s="126">
        <f t="shared" si="0"/>
        <v>0</v>
      </c>
      <c r="G20" s="224"/>
      <c r="H20" s="221"/>
      <c r="I20" s="53" t="s">
        <v>57</v>
      </c>
      <c r="J20" s="122">
        <v>1000</v>
      </c>
      <c r="K20" s="122">
        <f>'2013세출예산(추경)'!E23</f>
        <v>1000</v>
      </c>
      <c r="L20" s="135">
        <f t="shared" si="1"/>
        <v>0</v>
      </c>
    </row>
    <row r="21" spans="1:12" ht="27" customHeight="1">
      <c r="A21" s="222" t="s">
        <v>11</v>
      </c>
      <c r="B21" s="216" t="s">
        <v>11</v>
      </c>
      <c r="C21" s="136" t="s">
        <v>19</v>
      </c>
      <c r="D21" s="125">
        <f>TRUNC(D22+D23)</f>
        <v>22709</v>
      </c>
      <c r="E21" s="125">
        <f>TRUNC(E22+E23)</f>
        <v>22709</v>
      </c>
      <c r="F21" s="126">
        <f aca="true" t="shared" si="2" ref="F21:F26">SUM(E21-D21)</f>
        <v>0</v>
      </c>
      <c r="G21" s="224"/>
      <c r="H21" s="216" t="s">
        <v>31</v>
      </c>
      <c r="I21" s="136" t="s">
        <v>19</v>
      </c>
      <c r="J21" s="125">
        <f>TRUNC(J22+J23+J24+J25+J26+J27)</f>
        <v>65144</v>
      </c>
      <c r="K21" s="125">
        <f>TRUNC(K22+K23+K24+K25+K26+K27)</f>
        <v>65144</v>
      </c>
      <c r="L21" s="135">
        <f t="shared" si="1"/>
        <v>0</v>
      </c>
    </row>
    <row r="22" spans="1:12" ht="42" customHeight="1">
      <c r="A22" s="224"/>
      <c r="B22" s="217"/>
      <c r="C22" s="52" t="s">
        <v>138</v>
      </c>
      <c r="D22" s="122">
        <v>1619</v>
      </c>
      <c r="E22" s="122">
        <f>'2013세입예산(추경)'!E20</f>
        <v>1619</v>
      </c>
      <c r="F22" s="134">
        <f t="shared" si="2"/>
        <v>0</v>
      </c>
      <c r="G22" s="224"/>
      <c r="H22" s="217"/>
      <c r="I22" s="53" t="s">
        <v>40</v>
      </c>
      <c r="J22" s="122">
        <v>4200</v>
      </c>
      <c r="K22" s="122">
        <f>'2013세출예산(추경)'!E25</f>
        <v>5200</v>
      </c>
      <c r="L22" s="135">
        <f t="shared" si="1"/>
        <v>1000</v>
      </c>
    </row>
    <row r="23" spans="1:12" ht="40.5" customHeight="1">
      <c r="A23" s="223"/>
      <c r="B23" s="218"/>
      <c r="C23" s="52" t="s">
        <v>151</v>
      </c>
      <c r="D23" s="122">
        <v>21090</v>
      </c>
      <c r="E23" s="122">
        <f>'2013세입예산(추경)'!E21</f>
        <v>21090</v>
      </c>
      <c r="F23" s="134">
        <f t="shared" si="2"/>
        <v>0</v>
      </c>
      <c r="G23" s="224"/>
      <c r="H23" s="217"/>
      <c r="I23" s="52" t="s">
        <v>41</v>
      </c>
      <c r="J23" s="122">
        <v>18284</v>
      </c>
      <c r="K23" s="122">
        <f>'2013세출예산(추경)'!E26</f>
        <v>18284</v>
      </c>
      <c r="L23" s="123">
        <f t="shared" si="1"/>
        <v>0</v>
      </c>
    </row>
    <row r="24" spans="1:12" ht="27" customHeight="1">
      <c r="A24" s="222" t="s">
        <v>13</v>
      </c>
      <c r="B24" s="216" t="s">
        <v>13</v>
      </c>
      <c r="C24" s="136" t="s">
        <v>19</v>
      </c>
      <c r="D24" s="125">
        <f>TRUNC(D25+D26)</f>
        <v>10198</v>
      </c>
      <c r="E24" s="125">
        <f>TRUNC(E25+E26)</f>
        <v>10208</v>
      </c>
      <c r="F24" s="126">
        <f t="shared" si="2"/>
        <v>10</v>
      </c>
      <c r="G24" s="224"/>
      <c r="H24" s="217"/>
      <c r="I24" s="53" t="s">
        <v>42</v>
      </c>
      <c r="J24" s="122">
        <v>23400</v>
      </c>
      <c r="K24" s="122">
        <f>'2013세출예산(추경)'!E27</f>
        <v>23400</v>
      </c>
      <c r="L24" s="123">
        <f t="shared" si="1"/>
        <v>0</v>
      </c>
    </row>
    <row r="25" spans="1:12" ht="26.25" customHeight="1">
      <c r="A25" s="224"/>
      <c r="B25" s="217"/>
      <c r="C25" s="52" t="s">
        <v>23</v>
      </c>
      <c r="D25" s="122">
        <v>40</v>
      </c>
      <c r="E25" s="122">
        <f>'2013세입예산(추경)'!E23</f>
        <v>50</v>
      </c>
      <c r="F25" s="134">
        <f t="shared" si="2"/>
        <v>10</v>
      </c>
      <c r="G25" s="224"/>
      <c r="H25" s="217"/>
      <c r="I25" s="52" t="s">
        <v>43</v>
      </c>
      <c r="J25" s="122">
        <v>7820</v>
      </c>
      <c r="K25" s="122">
        <f>'2013세출예산(추경)'!E28</f>
        <v>7820</v>
      </c>
      <c r="L25" s="123">
        <f t="shared" si="1"/>
        <v>0</v>
      </c>
    </row>
    <row r="26" spans="1:15" ht="30" customHeight="1">
      <c r="A26" s="223"/>
      <c r="B26" s="218"/>
      <c r="C26" s="52" t="s">
        <v>24</v>
      </c>
      <c r="D26" s="122">
        <v>10158</v>
      </c>
      <c r="E26" s="122">
        <f>'2013세입예산(추경)'!E24</f>
        <v>10158</v>
      </c>
      <c r="F26" s="134">
        <f t="shared" si="2"/>
        <v>0</v>
      </c>
      <c r="G26" s="224"/>
      <c r="H26" s="217"/>
      <c r="I26" s="53" t="s">
        <v>44</v>
      </c>
      <c r="J26" s="122">
        <v>7340</v>
      </c>
      <c r="K26" s="122">
        <f>'2013세출예산(추경)'!E29</f>
        <v>7340</v>
      </c>
      <c r="L26" s="123">
        <f t="shared" si="1"/>
        <v>0</v>
      </c>
      <c r="O26" s="22"/>
    </row>
    <row r="27" spans="1:15" ht="30" customHeight="1">
      <c r="A27" s="138"/>
      <c r="B27" s="53"/>
      <c r="C27" s="52"/>
      <c r="D27" s="122"/>
      <c r="E27" s="122"/>
      <c r="F27" s="134"/>
      <c r="G27" s="223"/>
      <c r="H27" s="218"/>
      <c r="I27" s="52" t="s">
        <v>45</v>
      </c>
      <c r="J27" s="122">
        <v>4100</v>
      </c>
      <c r="K27" s="122">
        <f>'2013세출예산(추경)'!E30</f>
        <v>3100</v>
      </c>
      <c r="L27" s="135">
        <f t="shared" si="1"/>
        <v>-1000</v>
      </c>
      <c r="O27" s="22"/>
    </row>
    <row r="28" spans="1:12" ht="30" customHeight="1">
      <c r="A28" s="138"/>
      <c r="B28" s="53"/>
      <c r="C28" s="52"/>
      <c r="D28" s="122"/>
      <c r="E28" s="122"/>
      <c r="F28" s="134"/>
      <c r="G28" s="222" t="s">
        <v>152</v>
      </c>
      <c r="H28" s="216" t="s">
        <v>32</v>
      </c>
      <c r="I28" s="136" t="s">
        <v>19</v>
      </c>
      <c r="J28" s="125">
        <f>SUM(J29+J30+J31)</f>
        <v>13840</v>
      </c>
      <c r="K28" s="125">
        <f>SUM(K29+K30+K31)</f>
        <v>13840</v>
      </c>
      <c r="L28" s="135">
        <f t="shared" si="1"/>
        <v>0</v>
      </c>
    </row>
    <row r="29" spans="1:12" ht="24.75" customHeight="1">
      <c r="A29" s="138"/>
      <c r="B29" s="53"/>
      <c r="C29" s="52"/>
      <c r="D29" s="139"/>
      <c r="E29" s="139"/>
      <c r="F29" s="126">
        <f t="shared" si="0"/>
        <v>0</v>
      </c>
      <c r="G29" s="224"/>
      <c r="H29" s="217"/>
      <c r="I29" s="53" t="s">
        <v>32</v>
      </c>
      <c r="J29" s="122">
        <v>3000</v>
      </c>
      <c r="K29" s="122">
        <f>'2013세출예산(추경)'!E32</f>
        <v>3000</v>
      </c>
      <c r="L29" s="123">
        <f t="shared" si="1"/>
        <v>0</v>
      </c>
    </row>
    <row r="30" spans="1:12" ht="24.75" customHeight="1">
      <c r="A30" s="138"/>
      <c r="B30" s="53"/>
      <c r="C30" s="53"/>
      <c r="D30" s="139"/>
      <c r="E30" s="139"/>
      <c r="F30" s="126">
        <f t="shared" si="0"/>
        <v>0</v>
      </c>
      <c r="G30" s="224"/>
      <c r="H30" s="217"/>
      <c r="I30" s="52" t="s">
        <v>46</v>
      </c>
      <c r="J30" s="122">
        <v>5000</v>
      </c>
      <c r="K30" s="122">
        <f>'2013세출예산(추경)'!E33</f>
        <v>5000</v>
      </c>
      <c r="L30" s="123">
        <f t="shared" si="1"/>
        <v>0</v>
      </c>
    </row>
    <row r="31" spans="1:12" ht="24.75" customHeight="1">
      <c r="A31" s="138"/>
      <c r="B31" s="53"/>
      <c r="C31" s="53"/>
      <c r="D31" s="139"/>
      <c r="E31" s="139"/>
      <c r="F31" s="126"/>
      <c r="G31" s="223"/>
      <c r="H31" s="218"/>
      <c r="I31" s="52" t="s">
        <v>47</v>
      </c>
      <c r="J31" s="122">
        <v>5840</v>
      </c>
      <c r="K31" s="122">
        <f>'2013세출예산(추경)'!E34</f>
        <v>5840</v>
      </c>
      <c r="L31" s="123">
        <f t="shared" si="1"/>
        <v>0</v>
      </c>
    </row>
    <row r="32" spans="1:12" ht="24" customHeight="1">
      <c r="A32" s="138"/>
      <c r="B32" s="53"/>
      <c r="C32" s="53"/>
      <c r="D32" s="139"/>
      <c r="E32" s="139"/>
      <c r="F32" s="126">
        <f t="shared" si="0"/>
        <v>0</v>
      </c>
      <c r="G32" s="222" t="s">
        <v>12</v>
      </c>
      <c r="H32" s="216" t="s">
        <v>31</v>
      </c>
      <c r="I32" s="124" t="s">
        <v>19</v>
      </c>
      <c r="J32" s="125">
        <f>SUM(J33+J34+J35+J36+J37+J38+J39)</f>
        <v>196711</v>
      </c>
      <c r="K32" s="125">
        <f>SUM(K33+K34+K35+K36+K37+K38+K39)</f>
        <v>196711</v>
      </c>
      <c r="L32" s="126">
        <f>(L33+L34+L35+L36+L37+L38+L39)</f>
        <v>0</v>
      </c>
    </row>
    <row r="33" spans="1:12" ht="24.75" customHeight="1">
      <c r="A33" s="138"/>
      <c r="B33" s="53"/>
      <c r="C33" s="53"/>
      <c r="D33" s="144"/>
      <c r="E33" s="144"/>
      <c r="F33" s="126">
        <f t="shared" si="0"/>
        <v>0</v>
      </c>
      <c r="G33" s="224"/>
      <c r="H33" s="217"/>
      <c r="I33" s="53" t="s">
        <v>35</v>
      </c>
      <c r="J33" s="122">
        <v>128035</v>
      </c>
      <c r="K33" s="122">
        <f>'2013세출예산(추경)'!E36</f>
        <v>128035</v>
      </c>
      <c r="L33" s="123">
        <f>(K33-J33)</f>
        <v>0</v>
      </c>
    </row>
    <row r="34" spans="1:12" ht="24.75" customHeight="1">
      <c r="A34" s="119"/>
      <c r="B34" s="120"/>
      <c r="C34" s="120"/>
      <c r="D34" s="120"/>
      <c r="E34" s="120"/>
      <c r="F34" s="121"/>
      <c r="G34" s="224"/>
      <c r="H34" s="217"/>
      <c r="I34" s="52" t="s">
        <v>48</v>
      </c>
      <c r="J34" s="122">
        <v>1946</v>
      </c>
      <c r="K34" s="122">
        <f>'2013세출예산(추경)'!E37</f>
        <v>1946</v>
      </c>
      <c r="L34" s="123">
        <f aca="true" t="shared" si="3" ref="L34:L47">(K34-J34)</f>
        <v>0</v>
      </c>
    </row>
    <row r="35" spans="1:12" ht="24.75" customHeight="1">
      <c r="A35" s="119"/>
      <c r="B35" s="120"/>
      <c r="C35" s="120"/>
      <c r="D35" s="120"/>
      <c r="E35" s="120"/>
      <c r="F35" s="121"/>
      <c r="G35" s="224"/>
      <c r="H35" s="217"/>
      <c r="I35" s="53" t="s">
        <v>49</v>
      </c>
      <c r="J35" s="122">
        <v>13828</v>
      </c>
      <c r="K35" s="122">
        <f>'2013세출예산(추경)'!E38</f>
        <v>13828</v>
      </c>
      <c r="L35" s="123">
        <f t="shared" si="3"/>
        <v>0</v>
      </c>
    </row>
    <row r="36" spans="1:12" ht="24.75" customHeight="1">
      <c r="A36" s="119"/>
      <c r="B36" s="120"/>
      <c r="C36" s="120"/>
      <c r="D36" s="120"/>
      <c r="E36" s="120"/>
      <c r="F36" s="121"/>
      <c r="G36" s="224"/>
      <c r="H36" s="217"/>
      <c r="I36" s="53" t="s">
        <v>50</v>
      </c>
      <c r="J36" s="122">
        <v>960</v>
      </c>
      <c r="K36" s="122">
        <f>'2013세출예산(추경)'!E39</f>
        <v>960</v>
      </c>
      <c r="L36" s="123">
        <f t="shared" si="3"/>
        <v>0</v>
      </c>
    </row>
    <row r="37" spans="1:12" ht="24.75" customHeight="1">
      <c r="A37" s="119"/>
      <c r="B37" s="120"/>
      <c r="C37" s="120"/>
      <c r="D37" s="120"/>
      <c r="E37" s="120"/>
      <c r="F37" s="121"/>
      <c r="G37" s="224"/>
      <c r="H37" s="217"/>
      <c r="I37" s="53" t="s">
        <v>51</v>
      </c>
      <c r="J37" s="122">
        <v>4500</v>
      </c>
      <c r="K37" s="122">
        <f>'2013세출예산(추경)'!E40</f>
        <v>4500</v>
      </c>
      <c r="L37" s="123">
        <f t="shared" si="3"/>
        <v>0</v>
      </c>
    </row>
    <row r="38" spans="1:12" ht="24.75" customHeight="1">
      <c r="A38" s="119"/>
      <c r="B38" s="120"/>
      <c r="C38" s="120"/>
      <c r="D38" s="120"/>
      <c r="E38" s="120"/>
      <c r="F38" s="121"/>
      <c r="G38" s="224"/>
      <c r="H38" s="217"/>
      <c r="I38" s="52" t="s">
        <v>52</v>
      </c>
      <c r="J38" s="122">
        <v>18122</v>
      </c>
      <c r="K38" s="122">
        <f>'2013세출예산(추경)'!E41</f>
        <v>18122</v>
      </c>
      <c r="L38" s="123">
        <f t="shared" si="3"/>
        <v>0</v>
      </c>
    </row>
    <row r="39" spans="1:12" ht="24.75" customHeight="1">
      <c r="A39" s="119"/>
      <c r="B39" s="120"/>
      <c r="C39" s="120"/>
      <c r="D39" s="120"/>
      <c r="E39" s="120"/>
      <c r="F39" s="121"/>
      <c r="G39" s="224"/>
      <c r="H39" s="218"/>
      <c r="I39" s="53" t="s">
        <v>53</v>
      </c>
      <c r="J39" s="122">
        <v>29320</v>
      </c>
      <c r="K39" s="122">
        <f>'2013세출예산(추경)'!E42</f>
        <v>29320</v>
      </c>
      <c r="L39" s="123">
        <f t="shared" si="3"/>
        <v>0</v>
      </c>
    </row>
    <row r="40" spans="1:12" ht="24.75" customHeight="1">
      <c r="A40" s="119"/>
      <c r="B40" s="120"/>
      <c r="C40" s="120"/>
      <c r="D40" s="120"/>
      <c r="E40" s="120"/>
      <c r="F40" s="121"/>
      <c r="G40" s="224"/>
      <c r="H40" s="219" t="s">
        <v>59</v>
      </c>
      <c r="I40" s="124" t="s">
        <v>19</v>
      </c>
      <c r="J40" s="125">
        <f>SUM(J41+J42)</f>
        <v>38932</v>
      </c>
      <c r="K40" s="125">
        <f>SUM(K41+K42)</f>
        <v>45058</v>
      </c>
      <c r="L40" s="126">
        <f>SUM(K40-J40)</f>
        <v>6126</v>
      </c>
    </row>
    <row r="41" spans="1:12" ht="24.75" customHeight="1">
      <c r="A41" s="119"/>
      <c r="B41" s="120"/>
      <c r="C41" s="120"/>
      <c r="D41" s="120"/>
      <c r="E41" s="120"/>
      <c r="F41" s="121"/>
      <c r="G41" s="224"/>
      <c r="H41" s="220"/>
      <c r="I41" s="52" t="s">
        <v>59</v>
      </c>
      <c r="J41" s="122">
        <v>38077</v>
      </c>
      <c r="K41" s="122">
        <f>'2013세출예산(추경)'!E44</f>
        <v>44203</v>
      </c>
      <c r="L41" s="123">
        <f t="shared" si="3"/>
        <v>6126</v>
      </c>
    </row>
    <row r="42" spans="1:12" ht="24.75" customHeight="1">
      <c r="A42" s="119"/>
      <c r="B42" s="120"/>
      <c r="C42" s="120"/>
      <c r="D42" s="120"/>
      <c r="E42" s="120"/>
      <c r="F42" s="121"/>
      <c r="G42" s="223"/>
      <c r="H42" s="221"/>
      <c r="I42" s="52" t="s">
        <v>54</v>
      </c>
      <c r="J42" s="122">
        <v>855</v>
      </c>
      <c r="K42" s="122">
        <f>'2013세출예산(추경)'!E45</f>
        <v>855</v>
      </c>
      <c r="L42" s="123">
        <f t="shared" si="3"/>
        <v>0</v>
      </c>
    </row>
    <row r="43" spans="1:12" ht="24.75" customHeight="1">
      <c r="A43" s="119"/>
      <c r="B43" s="120"/>
      <c r="C43" s="120"/>
      <c r="D43" s="120"/>
      <c r="E43" s="120"/>
      <c r="F43" s="121"/>
      <c r="G43" s="222" t="s">
        <v>55</v>
      </c>
      <c r="H43" s="216" t="s">
        <v>55</v>
      </c>
      <c r="I43" s="124" t="s">
        <v>19</v>
      </c>
      <c r="J43" s="125">
        <f>SUM(J44)</f>
        <v>3600</v>
      </c>
      <c r="K43" s="125">
        <f>SUM(K44)</f>
        <v>3600</v>
      </c>
      <c r="L43" s="126">
        <f t="shared" si="3"/>
        <v>0</v>
      </c>
    </row>
    <row r="44" spans="1:12" ht="24.75" customHeight="1">
      <c r="A44" s="119"/>
      <c r="B44" s="120"/>
      <c r="C44" s="120"/>
      <c r="D44" s="120"/>
      <c r="E44" s="120"/>
      <c r="F44" s="121"/>
      <c r="G44" s="223"/>
      <c r="H44" s="218"/>
      <c r="I44" s="53" t="s">
        <v>55</v>
      </c>
      <c r="J44" s="122">
        <v>3600</v>
      </c>
      <c r="K44" s="122">
        <f>'2013세출예산(추경)'!E47</f>
        <v>3600</v>
      </c>
      <c r="L44" s="123">
        <f t="shared" si="3"/>
        <v>0</v>
      </c>
    </row>
    <row r="45" spans="1:12" ht="24.75" customHeight="1">
      <c r="A45" s="119"/>
      <c r="B45" s="120"/>
      <c r="C45" s="120"/>
      <c r="D45" s="120"/>
      <c r="E45" s="120"/>
      <c r="F45" s="121"/>
      <c r="G45" s="222" t="s">
        <v>146</v>
      </c>
      <c r="H45" s="219" t="s">
        <v>146</v>
      </c>
      <c r="I45" s="124" t="s">
        <v>19</v>
      </c>
      <c r="J45" s="125">
        <f>SUM(J46+J47)</f>
        <v>7883</v>
      </c>
      <c r="K45" s="125">
        <f>SUM(K46+K47)</f>
        <v>7948</v>
      </c>
      <c r="L45" s="126">
        <f t="shared" si="3"/>
        <v>65</v>
      </c>
    </row>
    <row r="46" spans="1:12" ht="24.75" customHeight="1">
      <c r="A46" s="119"/>
      <c r="B46" s="120"/>
      <c r="C46" s="120"/>
      <c r="D46" s="120"/>
      <c r="E46" s="120"/>
      <c r="F46" s="121"/>
      <c r="G46" s="224"/>
      <c r="H46" s="220"/>
      <c r="I46" s="147" t="s">
        <v>30</v>
      </c>
      <c r="J46" s="122">
        <v>7863</v>
      </c>
      <c r="K46" s="122">
        <f>'2013세출예산(추경)'!E49</f>
        <v>7925</v>
      </c>
      <c r="L46" s="123">
        <f t="shared" si="3"/>
        <v>62</v>
      </c>
    </row>
    <row r="47" spans="1:12" ht="24.75" customHeight="1" thickBot="1">
      <c r="A47" s="119"/>
      <c r="B47" s="120"/>
      <c r="C47" s="120"/>
      <c r="D47" s="120"/>
      <c r="E47" s="120"/>
      <c r="F47" s="121"/>
      <c r="G47" s="225"/>
      <c r="H47" s="226"/>
      <c r="I47" s="150" t="s">
        <v>145</v>
      </c>
      <c r="J47" s="127">
        <v>20</v>
      </c>
      <c r="K47" s="127">
        <f>'2013세출예산(추경)'!E50</f>
        <v>23</v>
      </c>
      <c r="L47" s="128">
        <f t="shared" si="3"/>
        <v>3</v>
      </c>
    </row>
    <row r="48" spans="1:12" ht="22.5" customHeight="1">
      <c r="A48" s="140"/>
      <c r="B48" s="140"/>
      <c r="C48" s="140"/>
      <c r="D48" s="140"/>
      <c r="E48" s="140"/>
      <c r="F48" s="140"/>
      <c r="G48" s="140"/>
      <c r="H48" s="140"/>
      <c r="I48" s="140"/>
      <c r="J48" s="141"/>
      <c r="K48" s="141"/>
      <c r="L48" s="141"/>
    </row>
    <row r="49" spans="1:12" ht="13.5">
      <c r="A49" s="140"/>
      <c r="B49" s="140"/>
      <c r="C49" s="140"/>
      <c r="D49" s="140"/>
      <c r="E49" s="140"/>
      <c r="F49" s="140"/>
      <c r="G49" s="140"/>
      <c r="H49" s="140"/>
      <c r="I49" s="140"/>
      <c r="J49" s="141"/>
      <c r="K49" s="141"/>
      <c r="L49" s="141"/>
    </row>
    <row r="50" spans="1:12" ht="13.5">
      <c r="A50" s="140"/>
      <c r="B50" s="140"/>
      <c r="C50" s="140"/>
      <c r="D50" s="140"/>
      <c r="E50" s="140"/>
      <c r="F50" s="140"/>
      <c r="G50" s="140"/>
      <c r="H50" s="140"/>
      <c r="I50" s="140"/>
      <c r="J50" s="141"/>
      <c r="K50" s="141"/>
      <c r="L50" s="141"/>
    </row>
    <row r="51" spans="1:12" ht="13.5">
      <c r="A51" s="140"/>
      <c r="B51" s="140"/>
      <c r="C51" s="140"/>
      <c r="D51" s="140"/>
      <c r="E51" s="140"/>
      <c r="F51" s="140"/>
      <c r="G51" s="140"/>
      <c r="H51" s="140"/>
      <c r="I51" s="140"/>
      <c r="J51" s="141"/>
      <c r="K51" s="141"/>
      <c r="L51" s="141"/>
    </row>
    <row r="52" spans="1:12" ht="13.5">
      <c r="A52" s="140"/>
      <c r="B52" s="140"/>
      <c r="C52" s="140"/>
      <c r="D52" s="140"/>
      <c r="E52" s="140"/>
      <c r="F52" s="140"/>
      <c r="G52" s="140"/>
      <c r="H52" s="140"/>
      <c r="I52" s="140"/>
      <c r="J52" s="141"/>
      <c r="K52" s="141"/>
      <c r="L52" s="141"/>
    </row>
    <row r="53" spans="1:12" ht="13.5">
      <c r="A53" s="140"/>
      <c r="B53" s="140"/>
      <c r="C53" s="140"/>
      <c r="D53" s="140"/>
      <c r="E53" s="140"/>
      <c r="F53" s="140"/>
      <c r="G53" s="140"/>
      <c r="H53" s="140"/>
      <c r="I53" s="140"/>
      <c r="J53" s="142"/>
      <c r="K53" s="142"/>
      <c r="L53" s="142"/>
    </row>
    <row r="54" spans="1:12" ht="13.5">
      <c r="A54" s="140"/>
      <c r="B54" s="140"/>
      <c r="C54" s="140"/>
      <c r="D54" s="140"/>
      <c r="E54" s="140"/>
      <c r="F54" s="140"/>
      <c r="G54" s="140"/>
      <c r="H54" s="140"/>
      <c r="I54" s="140"/>
      <c r="J54" s="142"/>
      <c r="K54" s="142"/>
      <c r="L54" s="142"/>
    </row>
    <row r="55" spans="1:12" ht="13.5">
      <c r="A55" s="140"/>
      <c r="B55" s="140"/>
      <c r="C55" s="140"/>
      <c r="D55" s="140"/>
      <c r="E55" s="140"/>
      <c r="F55" s="140"/>
      <c r="G55" s="140"/>
      <c r="H55" s="140"/>
      <c r="I55" s="140"/>
      <c r="J55" s="142"/>
      <c r="K55" s="142"/>
      <c r="L55" s="142"/>
    </row>
    <row r="56" spans="1:12" ht="13.5">
      <c r="A56" s="140"/>
      <c r="B56" s="140"/>
      <c r="C56" s="140"/>
      <c r="D56" s="140"/>
      <c r="E56" s="140"/>
      <c r="F56" s="140"/>
      <c r="G56" s="140"/>
      <c r="H56" s="140"/>
      <c r="I56" s="140"/>
      <c r="J56" s="142"/>
      <c r="K56" s="142"/>
      <c r="L56" s="142"/>
    </row>
    <row r="57" spans="1:12" ht="13.5">
      <c r="A57" s="140"/>
      <c r="B57" s="140"/>
      <c r="C57" s="140"/>
      <c r="D57" s="140"/>
      <c r="E57" s="140"/>
      <c r="F57" s="140"/>
      <c r="G57" s="140"/>
      <c r="H57" s="140"/>
      <c r="I57" s="140"/>
      <c r="J57" s="142"/>
      <c r="K57" s="142"/>
      <c r="L57" s="142"/>
    </row>
    <row r="58" spans="1:8" ht="13.5">
      <c r="A58" s="140"/>
      <c r="B58" s="140"/>
      <c r="C58" s="140"/>
      <c r="D58" s="140"/>
      <c r="E58" s="140"/>
      <c r="F58" s="140"/>
      <c r="G58" s="140"/>
      <c r="H58" s="140"/>
    </row>
  </sheetData>
  <sheetProtection/>
  <mergeCells count="44">
    <mergeCell ref="A24:A26"/>
    <mergeCell ref="B24:B26"/>
    <mergeCell ref="A12:A14"/>
    <mergeCell ref="M13:M14"/>
    <mergeCell ref="B18:B20"/>
    <mergeCell ref="A21:A23"/>
    <mergeCell ref="B21:B23"/>
    <mergeCell ref="H12:H17"/>
    <mergeCell ref="B12:B14"/>
    <mergeCell ref="A15:A17"/>
    <mergeCell ref="J9:J10"/>
    <mergeCell ref="K9:K10"/>
    <mergeCell ref="A11:C11"/>
    <mergeCell ref="G11:I11"/>
    <mergeCell ref="A18:A20"/>
    <mergeCell ref="B15:B17"/>
    <mergeCell ref="H18:H20"/>
    <mergeCell ref="A8:F8"/>
    <mergeCell ref="G8:L8"/>
    <mergeCell ref="A9:A10"/>
    <mergeCell ref="B9:B10"/>
    <mergeCell ref="C9:C10"/>
    <mergeCell ref="D9:D10"/>
    <mergeCell ref="E9:E10"/>
    <mergeCell ref="G9:G10"/>
    <mergeCell ref="H9:H10"/>
    <mergeCell ref="I9:I10"/>
    <mergeCell ref="H21:H27"/>
    <mergeCell ref="G12:G27"/>
    <mergeCell ref="G28:G31"/>
    <mergeCell ref="H28:H31"/>
    <mergeCell ref="A2:L2"/>
    <mergeCell ref="A3:L3"/>
    <mergeCell ref="A4:L4"/>
    <mergeCell ref="A5:L5"/>
    <mergeCell ref="A6:L6"/>
    <mergeCell ref="A7:L7"/>
    <mergeCell ref="H32:H39"/>
    <mergeCell ref="H40:H42"/>
    <mergeCell ref="H43:H44"/>
    <mergeCell ref="G43:G44"/>
    <mergeCell ref="G45:G47"/>
    <mergeCell ref="H45:H47"/>
    <mergeCell ref="G32:G42"/>
  </mergeCells>
  <printOptions/>
  <pageMargins left="0.2755905511811024" right="0.2362204724409449" top="0.4" bottom="0.6" header="0.17" footer="0.1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24"/>
  <sheetViews>
    <sheetView zoomScalePageLayoutView="0" workbookViewId="0" topLeftCell="A1">
      <selection activeCell="E23" sqref="E23"/>
    </sheetView>
  </sheetViews>
  <sheetFormatPr defaultColWidth="8.88671875" defaultRowHeight="13.5"/>
  <cols>
    <col min="1" max="1" width="7.99609375" style="0" customWidth="1"/>
    <col min="2" max="2" width="8.3359375" style="0" customWidth="1"/>
    <col min="3" max="3" width="7.88671875" style="0" customWidth="1"/>
    <col min="4" max="4" width="8.88671875" style="0" customWidth="1"/>
    <col min="5" max="5" width="9.88671875" style="0" customWidth="1"/>
    <col min="6" max="6" width="8.88671875" style="0" customWidth="1"/>
    <col min="7" max="7" width="33.4453125" style="0" customWidth="1"/>
  </cols>
  <sheetData>
    <row r="1" spans="1:7" ht="18.75">
      <c r="A1" s="247" t="s">
        <v>210</v>
      </c>
      <c r="B1" s="247"/>
      <c r="C1" s="247"/>
      <c r="D1" s="247"/>
      <c r="E1" s="247"/>
      <c r="F1" s="247"/>
      <c r="G1" s="247"/>
    </row>
    <row r="2" spans="1:7" ht="18.75">
      <c r="A2" s="208" t="s">
        <v>216</v>
      </c>
      <c r="B2" s="208"/>
      <c r="C2" s="208"/>
      <c r="D2" s="208"/>
      <c r="E2" s="208"/>
      <c r="F2" s="208"/>
      <c r="G2" s="208"/>
    </row>
    <row r="3" spans="1:7" ht="18.75">
      <c r="A3" s="208" t="s">
        <v>217</v>
      </c>
      <c r="B3" s="208"/>
      <c r="C3" s="208"/>
      <c r="D3" s="208"/>
      <c r="E3" s="208"/>
      <c r="F3" s="208"/>
      <c r="G3" s="208"/>
    </row>
    <row r="4" spans="1:7" ht="22.5" customHeight="1">
      <c r="A4" s="5" t="s">
        <v>79</v>
      </c>
      <c r="B4" s="38"/>
      <c r="C4" s="38"/>
      <c r="D4" s="38"/>
      <c r="E4" s="38"/>
      <c r="F4" s="38"/>
      <c r="G4" s="39" t="s">
        <v>80</v>
      </c>
    </row>
    <row r="5" spans="1:7" ht="27" customHeight="1">
      <c r="A5" s="248" t="s">
        <v>77</v>
      </c>
      <c r="B5" s="248"/>
      <c r="C5" s="248"/>
      <c r="D5" s="249" t="s">
        <v>211</v>
      </c>
      <c r="E5" s="249" t="s">
        <v>212</v>
      </c>
      <c r="F5" s="74" t="s">
        <v>94</v>
      </c>
      <c r="G5" s="251" t="s">
        <v>73</v>
      </c>
    </row>
    <row r="6" spans="1:7" ht="25.5" customHeight="1">
      <c r="A6" s="37" t="s">
        <v>74</v>
      </c>
      <c r="B6" s="37" t="s">
        <v>64</v>
      </c>
      <c r="C6" s="37" t="s">
        <v>75</v>
      </c>
      <c r="D6" s="250"/>
      <c r="E6" s="250"/>
      <c r="F6" s="37" t="s">
        <v>121</v>
      </c>
      <c r="G6" s="251"/>
    </row>
    <row r="7" spans="1:7" s="25" customFormat="1" ht="31.5" customHeight="1">
      <c r="A7" s="244" t="s">
        <v>78</v>
      </c>
      <c r="B7" s="244"/>
      <c r="C7" s="244"/>
      <c r="D7" s="75">
        <f>SUM(D8+D13+D16+D19+D22)</f>
        <v>786303</v>
      </c>
      <c r="E7" s="75">
        <f>SUM(E8+E13+E16+E19+E22)</f>
        <v>792494</v>
      </c>
      <c r="F7" s="75">
        <f>SUM(E7-D7)</f>
        <v>6191</v>
      </c>
      <c r="G7" s="83">
        <f>SUM(G8+G13+G16+G19+G22)</f>
        <v>792494780</v>
      </c>
    </row>
    <row r="8" spans="1:7" s="26" customFormat="1" ht="30.75" customHeight="1">
      <c r="A8" s="245" t="s">
        <v>4</v>
      </c>
      <c r="B8" s="245" t="s">
        <v>18</v>
      </c>
      <c r="C8" s="24" t="s">
        <v>19</v>
      </c>
      <c r="D8" s="75">
        <f>SUM(D9+D10+D11)</f>
        <v>698146</v>
      </c>
      <c r="E8" s="75">
        <f>SUM(E9+E10+E11)</f>
        <v>698146</v>
      </c>
      <c r="F8" s="75">
        <f>SUM(E8-D8)</f>
        <v>0</v>
      </c>
      <c r="G8" s="84">
        <v>698145970</v>
      </c>
    </row>
    <row r="9" spans="1:7" ht="117" customHeight="1">
      <c r="A9" s="246"/>
      <c r="B9" s="246"/>
      <c r="C9" s="145" t="s">
        <v>140</v>
      </c>
      <c r="D9" s="146">
        <v>148122</v>
      </c>
      <c r="E9" s="146">
        <v>148122</v>
      </c>
      <c r="F9" s="151">
        <f>TRUNC(E9-D9)</f>
        <v>0</v>
      </c>
      <c r="G9" s="8" t="s">
        <v>179</v>
      </c>
    </row>
    <row r="10" spans="1:7" ht="347.25" customHeight="1">
      <c r="A10" s="246"/>
      <c r="B10" s="246"/>
      <c r="C10" s="149" t="s">
        <v>188</v>
      </c>
      <c r="D10" s="151">
        <v>550024</v>
      </c>
      <c r="E10" s="151">
        <v>550024</v>
      </c>
      <c r="F10" s="151">
        <f>TRUNC(E10-D10)</f>
        <v>0</v>
      </c>
      <c r="G10" s="148" t="s">
        <v>158</v>
      </c>
    </row>
    <row r="11" spans="1:7" ht="67.5" customHeight="1">
      <c r="A11" s="40"/>
      <c r="B11" s="40"/>
      <c r="C11" s="13" t="s">
        <v>25</v>
      </c>
      <c r="D11" s="15"/>
      <c r="E11" s="15"/>
      <c r="F11" s="15">
        <f>(E11-D11)</f>
        <v>0</v>
      </c>
      <c r="G11" s="78"/>
    </row>
    <row r="12" spans="1:7" ht="0.75" customHeight="1">
      <c r="A12" s="145"/>
      <c r="B12" s="145"/>
      <c r="C12" s="145"/>
      <c r="D12" s="163"/>
      <c r="E12" s="163"/>
      <c r="F12" s="163"/>
      <c r="G12" s="162"/>
    </row>
    <row r="13" spans="1:7" ht="31.5" customHeight="1">
      <c r="A13" s="245" t="s">
        <v>26</v>
      </c>
      <c r="B13" s="245" t="s">
        <v>27</v>
      </c>
      <c r="C13" s="14" t="s">
        <v>19</v>
      </c>
      <c r="D13" s="75">
        <f>SUM(D14+D15)</f>
        <v>51000</v>
      </c>
      <c r="E13" s="75">
        <f>SUM(E14+E15)</f>
        <v>57181</v>
      </c>
      <c r="F13" s="75">
        <f>(F14+F15)</f>
        <v>6181</v>
      </c>
      <c r="G13" s="79">
        <v>57181710</v>
      </c>
    </row>
    <row r="14" spans="1:7" ht="78.75" customHeight="1">
      <c r="A14" s="246"/>
      <c r="B14" s="246"/>
      <c r="C14" s="13" t="s">
        <v>20</v>
      </c>
      <c r="D14" s="15">
        <v>43000</v>
      </c>
      <c r="E14" s="15">
        <v>50260</v>
      </c>
      <c r="F14" s="15">
        <f aca="true" t="shared" si="0" ref="F14:F21">(E14-D14)</f>
        <v>7260</v>
      </c>
      <c r="G14" s="80" t="s">
        <v>208</v>
      </c>
    </row>
    <row r="15" spans="1:7" ht="72.75" customHeight="1">
      <c r="A15" s="252"/>
      <c r="B15" s="252"/>
      <c r="C15" s="13" t="s">
        <v>21</v>
      </c>
      <c r="D15" s="15">
        <v>8000</v>
      </c>
      <c r="E15" s="15">
        <v>6921</v>
      </c>
      <c r="F15" s="15">
        <f t="shared" si="0"/>
        <v>-1079</v>
      </c>
      <c r="G15" s="78" t="s">
        <v>209</v>
      </c>
    </row>
    <row r="16" spans="1:7" ht="32.25" customHeight="1">
      <c r="A16" s="245" t="s">
        <v>9</v>
      </c>
      <c r="B16" s="245" t="s">
        <v>9</v>
      </c>
      <c r="C16" s="24" t="s">
        <v>19</v>
      </c>
      <c r="D16" s="75">
        <f>SUM(D17+D18)</f>
        <v>4250</v>
      </c>
      <c r="E16" s="75">
        <f>SUM(E17+E18)</f>
        <v>4250</v>
      </c>
      <c r="F16" s="75">
        <f t="shared" si="0"/>
        <v>0</v>
      </c>
      <c r="G16" s="79">
        <v>4250000</v>
      </c>
    </row>
    <row r="17" spans="1:7" ht="69.75" customHeight="1">
      <c r="A17" s="246"/>
      <c r="B17" s="246"/>
      <c r="C17" s="13" t="s">
        <v>22</v>
      </c>
      <c r="D17" s="15">
        <v>0</v>
      </c>
      <c r="E17" s="15">
        <v>0</v>
      </c>
      <c r="F17" s="15">
        <f t="shared" si="0"/>
        <v>0</v>
      </c>
      <c r="G17" s="80" t="s">
        <v>153</v>
      </c>
    </row>
    <row r="18" spans="1:7" ht="66.75" customHeight="1">
      <c r="A18" s="252"/>
      <c r="B18" s="252"/>
      <c r="C18" s="13" t="s">
        <v>137</v>
      </c>
      <c r="D18" s="15">
        <v>4250</v>
      </c>
      <c r="E18" s="15">
        <v>4250</v>
      </c>
      <c r="F18" s="15">
        <f t="shared" si="0"/>
        <v>0</v>
      </c>
      <c r="G18" s="80" t="s">
        <v>175</v>
      </c>
    </row>
    <row r="19" spans="1:7" s="6" customFormat="1" ht="32.25" customHeight="1">
      <c r="A19" s="255" t="s">
        <v>11</v>
      </c>
      <c r="B19" s="245" t="s">
        <v>11</v>
      </c>
      <c r="C19" s="76" t="s">
        <v>19</v>
      </c>
      <c r="D19" s="75">
        <f>SUM(D20+D21)</f>
        <v>22709</v>
      </c>
      <c r="E19" s="75">
        <f>SUM(E20+E21)</f>
        <v>22709</v>
      </c>
      <c r="F19" s="75">
        <f t="shared" si="0"/>
        <v>0</v>
      </c>
      <c r="G19" s="81">
        <v>22709790</v>
      </c>
    </row>
    <row r="20" spans="1:7" s="6" customFormat="1" ht="61.5" customHeight="1">
      <c r="A20" s="256"/>
      <c r="B20" s="246"/>
      <c r="C20" s="77" t="s">
        <v>138</v>
      </c>
      <c r="D20" s="15">
        <v>1619</v>
      </c>
      <c r="E20" s="15">
        <v>1619</v>
      </c>
      <c r="F20" s="15">
        <f t="shared" si="0"/>
        <v>0</v>
      </c>
      <c r="G20" s="82" t="s">
        <v>176</v>
      </c>
    </row>
    <row r="21" spans="1:7" s="6" customFormat="1" ht="61.5" customHeight="1">
      <c r="A21" s="257"/>
      <c r="B21" s="252"/>
      <c r="C21" s="77" t="s">
        <v>139</v>
      </c>
      <c r="D21" s="15">
        <v>21090</v>
      </c>
      <c r="E21" s="15">
        <v>21090</v>
      </c>
      <c r="F21" s="15">
        <f t="shared" si="0"/>
        <v>0</v>
      </c>
      <c r="G21" s="82" t="s">
        <v>177</v>
      </c>
    </row>
    <row r="22" spans="1:7" ht="31.5" customHeight="1">
      <c r="A22" s="253" t="s">
        <v>13</v>
      </c>
      <c r="B22" s="254" t="s">
        <v>13</v>
      </c>
      <c r="C22" s="76" t="s">
        <v>19</v>
      </c>
      <c r="D22" s="75">
        <f>SUM(D23+D24)</f>
        <v>10198</v>
      </c>
      <c r="E22" s="75">
        <f>SUM(E23+E24)</f>
        <v>10208</v>
      </c>
      <c r="F22" s="75">
        <f>(F23+F24)</f>
        <v>10</v>
      </c>
      <c r="G22" s="81">
        <v>10207310</v>
      </c>
    </row>
    <row r="23" spans="1:7" ht="59.25" customHeight="1">
      <c r="A23" s="253"/>
      <c r="B23" s="253"/>
      <c r="C23" s="13" t="s">
        <v>23</v>
      </c>
      <c r="D23" s="15">
        <v>40</v>
      </c>
      <c r="E23" s="15">
        <v>50</v>
      </c>
      <c r="F23" s="15">
        <f>(E23-D23)</f>
        <v>10</v>
      </c>
      <c r="G23" s="80" t="s">
        <v>213</v>
      </c>
    </row>
    <row r="24" spans="1:7" ht="126" customHeight="1">
      <c r="A24" s="253"/>
      <c r="B24" s="253"/>
      <c r="C24" s="13" t="s">
        <v>24</v>
      </c>
      <c r="D24" s="15">
        <v>10158</v>
      </c>
      <c r="E24" s="15">
        <v>10158</v>
      </c>
      <c r="F24" s="15">
        <f>(E24-D24)</f>
        <v>0</v>
      </c>
      <c r="G24" s="80" t="s">
        <v>189</v>
      </c>
    </row>
  </sheetData>
  <sheetProtection/>
  <mergeCells count="18">
    <mergeCell ref="A13:A15"/>
    <mergeCell ref="B13:B15"/>
    <mergeCell ref="A22:A24"/>
    <mergeCell ref="B22:B24"/>
    <mergeCell ref="A16:A18"/>
    <mergeCell ref="B16:B18"/>
    <mergeCell ref="A19:A21"/>
    <mergeCell ref="B19:B21"/>
    <mergeCell ref="A7:C7"/>
    <mergeCell ref="A8:A10"/>
    <mergeCell ref="B8:B10"/>
    <mergeCell ref="A1:G1"/>
    <mergeCell ref="A2:G2"/>
    <mergeCell ref="A3:G3"/>
    <mergeCell ref="A5:C5"/>
    <mergeCell ref="D5:D6"/>
    <mergeCell ref="E5:E6"/>
    <mergeCell ref="G5:G6"/>
  </mergeCells>
  <printOptions/>
  <pageMargins left="0.17" right="0.13" top="0.7" bottom="0.43" header="0.13" footer="0.1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72"/>
  <sheetViews>
    <sheetView zoomScalePageLayoutView="0" workbookViewId="0" topLeftCell="A2">
      <selection activeCell="B6" sqref="B6:B19"/>
    </sheetView>
  </sheetViews>
  <sheetFormatPr defaultColWidth="8.88671875" defaultRowHeight="13.5"/>
  <cols>
    <col min="1" max="1" width="6.10546875" style="0" customWidth="1"/>
    <col min="2" max="2" width="6.77734375" style="0" customWidth="1"/>
    <col min="3" max="3" width="8.10546875" style="0" customWidth="1"/>
    <col min="4" max="4" width="10.5546875" style="0" customWidth="1"/>
    <col min="5" max="5" width="11.5546875" style="0" customWidth="1"/>
    <col min="6" max="6" width="10.99609375" style="0" customWidth="1"/>
    <col min="7" max="7" width="31.77734375" style="0" customWidth="1"/>
    <col min="8" max="8" width="16.6640625" style="0" customWidth="1"/>
  </cols>
  <sheetData>
    <row r="1" spans="1:7" ht="28.5" customHeight="1">
      <c r="A1" s="30" t="s">
        <v>128</v>
      </c>
      <c r="B1" s="30"/>
      <c r="C1" s="4"/>
      <c r="D1" s="4"/>
      <c r="E1" s="4"/>
      <c r="F1" s="4"/>
      <c r="G1" s="7" t="s">
        <v>80</v>
      </c>
    </row>
    <row r="2" spans="1:7" ht="24.75" customHeight="1">
      <c r="A2" s="269" t="s">
        <v>77</v>
      </c>
      <c r="B2" s="270"/>
      <c r="C2" s="271"/>
      <c r="D2" s="249" t="s">
        <v>211</v>
      </c>
      <c r="E2" s="249" t="s">
        <v>212</v>
      </c>
      <c r="F2" s="3" t="s">
        <v>94</v>
      </c>
      <c r="G2" s="258" t="s">
        <v>73</v>
      </c>
    </row>
    <row r="3" spans="1:7" ht="24.75" customHeight="1">
      <c r="A3" s="2" t="s">
        <v>74</v>
      </c>
      <c r="B3" s="2" t="s">
        <v>64</v>
      </c>
      <c r="C3" s="2" t="s">
        <v>75</v>
      </c>
      <c r="D3" s="250"/>
      <c r="E3" s="250"/>
      <c r="F3" s="2" t="s">
        <v>121</v>
      </c>
      <c r="G3" s="259"/>
    </row>
    <row r="4" spans="1:7" ht="24.75" customHeight="1">
      <c r="A4" s="260" t="s">
        <v>78</v>
      </c>
      <c r="B4" s="261"/>
      <c r="C4" s="262"/>
      <c r="D4" s="9">
        <f>SUM(D5+D21+D24+D31+D35+D43+D46+D48)</f>
        <v>786303</v>
      </c>
      <c r="E4" s="9">
        <f>SUM(E5+E21+E24+E31+E35+E43+E46+E48)</f>
        <v>792494</v>
      </c>
      <c r="F4" s="27">
        <f>SUM(E4-D4)</f>
        <v>6191</v>
      </c>
      <c r="G4" s="81">
        <f>TRUNC(G5+G21+G24+G31+G35+G43+G46+G48)</f>
        <v>792494780</v>
      </c>
    </row>
    <row r="5" spans="1:7" ht="27" customHeight="1">
      <c r="A5" s="255" t="s">
        <v>5</v>
      </c>
      <c r="B5" s="263" t="s">
        <v>19</v>
      </c>
      <c r="C5" s="264"/>
      <c r="D5" s="75">
        <f>TRUNC(D6+D11+D7+D18+D19+D20)</f>
        <v>458193</v>
      </c>
      <c r="E5" s="75">
        <f>TRUNC(E6+E11+E7+E18+E19+E20)</f>
        <v>458193</v>
      </c>
      <c r="F5" s="75">
        <f>(E5-D5)</f>
        <v>0</v>
      </c>
      <c r="G5" s="81">
        <v>458192140</v>
      </c>
    </row>
    <row r="6" spans="1:7" ht="37.5" customHeight="1">
      <c r="A6" s="256"/>
      <c r="B6" s="245" t="s">
        <v>127</v>
      </c>
      <c r="C6" s="12" t="s">
        <v>36</v>
      </c>
      <c r="D6" s="15">
        <v>193180</v>
      </c>
      <c r="E6" s="15">
        <v>193180</v>
      </c>
      <c r="F6" s="15">
        <f>(E6-D6)</f>
        <v>0</v>
      </c>
      <c r="G6" s="92" t="s">
        <v>162</v>
      </c>
    </row>
    <row r="7" spans="1:8" ht="37.5" customHeight="1">
      <c r="A7" s="256"/>
      <c r="B7" s="246"/>
      <c r="C7" s="258" t="s">
        <v>37</v>
      </c>
      <c r="D7" s="265">
        <v>196197</v>
      </c>
      <c r="E7" s="265">
        <v>196197</v>
      </c>
      <c r="F7" s="265">
        <f>E7-D7</f>
        <v>0</v>
      </c>
      <c r="G7" s="93" t="s">
        <v>163</v>
      </c>
      <c r="H7" s="51"/>
    </row>
    <row r="8" spans="1:7" s="6" customFormat="1" ht="37.5" customHeight="1">
      <c r="A8" s="256"/>
      <c r="B8" s="246"/>
      <c r="C8" s="267"/>
      <c r="D8" s="266"/>
      <c r="E8" s="266"/>
      <c r="F8" s="266"/>
      <c r="G8" s="93" t="s">
        <v>164</v>
      </c>
    </row>
    <row r="9" spans="1:7" s="6" customFormat="1" ht="37.5" customHeight="1">
      <c r="A9" s="256"/>
      <c r="B9" s="246"/>
      <c r="C9" s="267"/>
      <c r="D9" s="266"/>
      <c r="E9" s="266"/>
      <c r="F9" s="266"/>
      <c r="G9" s="103" t="s">
        <v>173</v>
      </c>
    </row>
    <row r="10" spans="1:7" s="6" customFormat="1" ht="37.5" customHeight="1">
      <c r="A10" s="256"/>
      <c r="B10" s="246"/>
      <c r="C10" s="267"/>
      <c r="D10" s="266"/>
      <c r="E10" s="266"/>
      <c r="F10" s="266"/>
      <c r="G10" s="103" t="s">
        <v>174</v>
      </c>
    </row>
    <row r="11" spans="1:7" s="6" customFormat="1" ht="37.5" customHeight="1">
      <c r="A11" s="256"/>
      <c r="B11" s="246"/>
      <c r="C11" s="267"/>
      <c r="D11" s="266"/>
      <c r="E11" s="266"/>
      <c r="F11" s="266"/>
      <c r="G11" s="102" t="s">
        <v>165</v>
      </c>
    </row>
    <row r="12" spans="1:7" s="6" customFormat="1" ht="37.5" customHeight="1">
      <c r="A12" s="256"/>
      <c r="B12" s="246"/>
      <c r="C12" s="267"/>
      <c r="D12" s="266"/>
      <c r="E12" s="266"/>
      <c r="F12" s="266"/>
      <c r="G12" s="93" t="s">
        <v>166</v>
      </c>
    </row>
    <row r="13" spans="1:7" s="6" customFormat="1" ht="37.5" customHeight="1">
      <c r="A13" s="256"/>
      <c r="B13" s="246"/>
      <c r="C13" s="267"/>
      <c r="D13" s="266"/>
      <c r="E13" s="266"/>
      <c r="F13" s="266"/>
      <c r="G13" s="93" t="s">
        <v>167</v>
      </c>
    </row>
    <row r="14" spans="1:7" s="6" customFormat="1" ht="37.5" customHeight="1">
      <c r="A14" s="256"/>
      <c r="B14" s="246"/>
      <c r="C14" s="267"/>
      <c r="D14" s="266"/>
      <c r="E14" s="266"/>
      <c r="F14" s="266"/>
      <c r="G14" s="93" t="s">
        <v>168</v>
      </c>
    </row>
    <row r="15" spans="1:7" s="6" customFormat="1" ht="37.5" customHeight="1">
      <c r="A15" s="256"/>
      <c r="B15" s="246"/>
      <c r="C15" s="267"/>
      <c r="D15" s="266"/>
      <c r="E15" s="266"/>
      <c r="F15" s="266"/>
      <c r="G15" s="94" t="s">
        <v>169</v>
      </c>
    </row>
    <row r="16" spans="1:7" s="6" customFormat="1" ht="37.5" customHeight="1">
      <c r="A16" s="256"/>
      <c r="B16" s="246"/>
      <c r="C16" s="267"/>
      <c r="D16" s="266"/>
      <c r="E16" s="266"/>
      <c r="F16" s="266"/>
      <c r="G16" s="93" t="s">
        <v>170</v>
      </c>
    </row>
    <row r="17" spans="1:7" s="6" customFormat="1" ht="60.75" customHeight="1">
      <c r="A17" s="256"/>
      <c r="B17" s="246"/>
      <c r="C17" s="259"/>
      <c r="D17" s="199"/>
      <c r="E17" s="199"/>
      <c r="F17" s="199"/>
      <c r="G17" s="94" t="s">
        <v>171</v>
      </c>
    </row>
    <row r="18" spans="1:7" s="6" customFormat="1" ht="57.75" customHeight="1">
      <c r="A18" s="256"/>
      <c r="B18" s="246"/>
      <c r="C18" s="13" t="s">
        <v>160</v>
      </c>
      <c r="D18" s="71">
        <v>32448</v>
      </c>
      <c r="E18" s="71">
        <v>32448</v>
      </c>
      <c r="F18" s="71">
        <f>(E18-D18)</f>
        <v>0</v>
      </c>
      <c r="G18" s="78" t="s">
        <v>172</v>
      </c>
    </row>
    <row r="19" spans="1:7" s="6" customFormat="1" ht="76.5" customHeight="1">
      <c r="A19" s="257"/>
      <c r="B19" s="252"/>
      <c r="C19" s="13" t="s">
        <v>161</v>
      </c>
      <c r="D19" s="71">
        <v>35368</v>
      </c>
      <c r="E19" s="71">
        <v>35368</v>
      </c>
      <c r="F19" s="71">
        <f>(E19-D19)</f>
        <v>0</v>
      </c>
      <c r="G19" s="95" t="s">
        <v>141</v>
      </c>
    </row>
    <row r="20" spans="1:7" s="6" customFormat="1" ht="57.75" customHeight="1">
      <c r="A20" s="155"/>
      <c r="B20" s="11" t="s">
        <v>6</v>
      </c>
      <c r="C20" s="13" t="s">
        <v>99</v>
      </c>
      <c r="D20" s="71">
        <v>1000</v>
      </c>
      <c r="E20" s="71">
        <v>1000</v>
      </c>
      <c r="F20" s="71">
        <f>(E20-D20)</f>
        <v>0</v>
      </c>
      <c r="G20" s="95" t="s">
        <v>197</v>
      </c>
    </row>
    <row r="21" spans="1:7" s="6" customFormat="1" ht="33.75" customHeight="1">
      <c r="A21" s="152"/>
      <c r="B21" s="245" t="s">
        <v>7</v>
      </c>
      <c r="C21" s="14" t="s">
        <v>19</v>
      </c>
      <c r="D21" s="75">
        <f>TRUNC(D22+D23)</f>
        <v>2000</v>
      </c>
      <c r="E21" s="75">
        <f>TRUNC(E22+E23)</f>
        <v>2000</v>
      </c>
      <c r="F21" s="75">
        <f>(E21-D21)</f>
        <v>0</v>
      </c>
      <c r="G21" s="81">
        <v>2000000</v>
      </c>
    </row>
    <row r="22" spans="1:7" s="6" customFormat="1" ht="33.75" customHeight="1">
      <c r="A22" s="152"/>
      <c r="B22" s="246"/>
      <c r="C22" s="13" t="s">
        <v>56</v>
      </c>
      <c r="D22" s="28">
        <v>1000</v>
      </c>
      <c r="E22" s="28">
        <v>1000</v>
      </c>
      <c r="F22" s="28">
        <f>E22-D22</f>
        <v>0</v>
      </c>
      <c r="G22" s="96" t="s">
        <v>29</v>
      </c>
    </row>
    <row r="23" spans="1:7" s="6" customFormat="1" ht="32.25" customHeight="1">
      <c r="A23" s="152"/>
      <c r="B23" s="252"/>
      <c r="C23" s="12" t="s">
        <v>57</v>
      </c>
      <c r="D23" s="28">
        <v>1000</v>
      </c>
      <c r="E23" s="28">
        <v>1000</v>
      </c>
      <c r="F23" s="99">
        <f>E23-D23</f>
        <v>0</v>
      </c>
      <c r="G23" s="97" t="s">
        <v>28</v>
      </c>
    </row>
    <row r="24" spans="1:7" s="6" customFormat="1" ht="34.5" customHeight="1">
      <c r="A24" s="152"/>
      <c r="B24" s="154"/>
      <c r="C24" s="14" t="s">
        <v>19</v>
      </c>
      <c r="D24" s="75">
        <f>TRUNC(D25+D26+D27+D28+D29+D30)</f>
        <v>65144</v>
      </c>
      <c r="E24" s="75">
        <f>TRUNC(E25+E26+E27+E28+E29+E30)</f>
        <v>65144</v>
      </c>
      <c r="F24" s="75">
        <f>(E24-D24)</f>
        <v>0</v>
      </c>
      <c r="G24" s="81">
        <v>65143830</v>
      </c>
    </row>
    <row r="25" spans="1:7" ht="81" customHeight="1">
      <c r="A25" s="152"/>
      <c r="B25" s="153"/>
      <c r="C25" s="13" t="s">
        <v>70</v>
      </c>
      <c r="D25" s="71">
        <v>4200</v>
      </c>
      <c r="E25" s="71">
        <v>5200</v>
      </c>
      <c r="F25" s="71">
        <f>(E25-D25)</f>
        <v>1000</v>
      </c>
      <c r="G25" s="96" t="s">
        <v>221</v>
      </c>
    </row>
    <row r="26" spans="1:7" ht="215.25" customHeight="1">
      <c r="A26" s="256" t="s">
        <v>5</v>
      </c>
      <c r="B26" s="246" t="s">
        <v>31</v>
      </c>
      <c r="C26" s="40" t="s">
        <v>69</v>
      </c>
      <c r="D26" s="71">
        <v>18284</v>
      </c>
      <c r="E26" s="71">
        <v>18284</v>
      </c>
      <c r="F26" s="71">
        <f>(E26-D26)</f>
        <v>0</v>
      </c>
      <c r="G26" s="95" t="s">
        <v>195</v>
      </c>
    </row>
    <row r="27" spans="1:7" s="6" customFormat="1" ht="122.25" customHeight="1">
      <c r="A27" s="257"/>
      <c r="B27" s="252"/>
      <c r="C27" s="13" t="s">
        <v>42</v>
      </c>
      <c r="D27" s="71">
        <v>23400</v>
      </c>
      <c r="E27" s="71">
        <v>23400</v>
      </c>
      <c r="F27" s="71">
        <f>E27-D27</f>
        <v>0</v>
      </c>
      <c r="G27" s="95" t="s">
        <v>193</v>
      </c>
    </row>
    <row r="28" spans="1:7" s="6" customFormat="1" ht="218.25" customHeight="1">
      <c r="A28" s="255" t="s">
        <v>5</v>
      </c>
      <c r="B28" s="245" t="s">
        <v>31</v>
      </c>
      <c r="C28" s="13" t="s">
        <v>43</v>
      </c>
      <c r="D28" s="15">
        <v>7820</v>
      </c>
      <c r="E28" s="15">
        <v>7820</v>
      </c>
      <c r="F28" s="15">
        <f>E28-D28</f>
        <v>0</v>
      </c>
      <c r="G28" s="80" t="s">
        <v>194</v>
      </c>
    </row>
    <row r="29" spans="1:7" s="6" customFormat="1" ht="120" customHeight="1">
      <c r="A29" s="256"/>
      <c r="B29" s="246"/>
      <c r="C29" s="73" t="s">
        <v>44</v>
      </c>
      <c r="D29" s="41">
        <v>7340</v>
      </c>
      <c r="E29" s="41">
        <v>7340</v>
      </c>
      <c r="F29" s="41">
        <f>(E29-D29)</f>
        <v>0</v>
      </c>
      <c r="G29" s="80" t="s">
        <v>185</v>
      </c>
    </row>
    <row r="30" spans="1:7" ht="47.25" customHeight="1">
      <c r="A30" s="257"/>
      <c r="B30" s="252"/>
      <c r="C30" s="13" t="s">
        <v>45</v>
      </c>
      <c r="D30" s="15">
        <v>4100</v>
      </c>
      <c r="E30" s="15">
        <v>3100</v>
      </c>
      <c r="F30" s="15">
        <f>E30-D30</f>
        <v>-1000</v>
      </c>
      <c r="G30" s="80" t="s">
        <v>222</v>
      </c>
    </row>
    <row r="31" spans="1:7" ht="33" customHeight="1">
      <c r="A31" s="245" t="s">
        <v>76</v>
      </c>
      <c r="B31" s="245" t="s">
        <v>32</v>
      </c>
      <c r="C31" s="14" t="s">
        <v>19</v>
      </c>
      <c r="D31" s="75">
        <f>TRUNC(D32+D33+D34)</f>
        <v>13840</v>
      </c>
      <c r="E31" s="75">
        <f>TRUNC(E32+E33+E34)</f>
        <v>13840</v>
      </c>
      <c r="F31" s="75">
        <f>(F32+F33+F34)</f>
        <v>0</v>
      </c>
      <c r="G31" s="98">
        <v>13840000</v>
      </c>
    </row>
    <row r="32" spans="1:7" ht="46.5" customHeight="1">
      <c r="A32" s="246"/>
      <c r="B32" s="246"/>
      <c r="C32" s="13" t="s">
        <v>32</v>
      </c>
      <c r="D32" s="15">
        <v>3000</v>
      </c>
      <c r="E32" s="15">
        <v>3000</v>
      </c>
      <c r="F32" s="15">
        <f>(E32-D32)</f>
        <v>0</v>
      </c>
      <c r="G32" s="80" t="s">
        <v>184</v>
      </c>
    </row>
    <row r="33" spans="1:7" ht="53.25" customHeight="1">
      <c r="A33" s="246"/>
      <c r="B33" s="246"/>
      <c r="C33" s="13" t="s">
        <v>68</v>
      </c>
      <c r="D33" s="15">
        <v>5000</v>
      </c>
      <c r="E33" s="15">
        <v>5000</v>
      </c>
      <c r="F33" s="15">
        <f>(E33-D33)</f>
        <v>0</v>
      </c>
      <c r="G33" s="80" t="s">
        <v>192</v>
      </c>
    </row>
    <row r="34" spans="1:7" ht="211.5" customHeight="1">
      <c r="A34" s="252"/>
      <c r="B34" s="252"/>
      <c r="C34" s="13" t="s">
        <v>47</v>
      </c>
      <c r="D34" s="15">
        <v>5840</v>
      </c>
      <c r="E34" s="15">
        <v>5840</v>
      </c>
      <c r="F34" s="15">
        <f>(E34-D34)</f>
        <v>0</v>
      </c>
      <c r="G34" s="80" t="s">
        <v>178</v>
      </c>
    </row>
    <row r="35" spans="1:7" ht="30.75" customHeight="1">
      <c r="A35" s="255" t="s">
        <v>81</v>
      </c>
      <c r="B35" s="245" t="s">
        <v>31</v>
      </c>
      <c r="C35" s="14" t="s">
        <v>19</v>
      </c>
      <c r="D35" s="85">
        <f>SUM(D36+D37+D38+D39+D40+D41+D42)</f>
        <v>196711</v>
      </c>
      <c r="E35" s="85">
        <f>SUM(E36+E37+E38+E39+E40+E41+E42)</f>
        <v>196711</v>
      </c>
      <c r="F35" s="100">
        <f>E35-D35</f>
        <v>0</v>
      </c>
      <c r="G35" s="81">
        <v>196711560</v>
      </c>
    </row>
    <row r="36" spans="1:7" ht="78.75" customHeight="1">
      <c r="A36" s="268"/>
      <c r="B36" s="252"/>
      <c r="C36" s="12" t="s">
        <v>82</v>
      </c>
      <c r="D36" s="86">
        <v>128035</v>
      </c>
      <c r="E36" s="86">
        <v>128035</v>
      </c>
      <c r="F36" s="101">
        <f>E36-D36</f>
        <v>0</v>
      </c>
      <c r="G36" s="80" t="s">
        <v>181</v>
      </c>
    </row>
    <row r="37" spans="1:7" ht="45.75" customHeight="1">
      <c r="A37" s="255" t="s">
        <v>186</v>
      </c>
      <c r="B37" s="245" t="s">
        <v>31</v>
      </c>
      <c r="C37" s="13" t="s">
        <v>97</v>
      </c>
      <c r="D37" s="87">
        <v>1946</v>
      </c>
      <c r="E37" s="87">
        <v>1946</v>
      </c>
      <c r="F37" s="72">
        <f aca="true" t="shared" si="0" ref="F37:F43">(E37-D37)</f>
        <v>0</v>
      </c>
      <c r="G37" s="80" t="s">
        <v>142</v>
      </c>
    </row>
    <row r="38" spans="1:7" ht="64.5" customHeight="1">
      <c r="A38" s="256"/>
      <c r="B38" s="246"/>
      <c r="C38" s="13" t="s">
        <v>49</v>
      </c>
      <c r="D38" s="88">
        <v>13828</v>
      </c>
      <c r="E38" s="88">
        <v>13828</v>
      </c>
      <c r="F38" s="15">
        <f t="shared" si="0"/>
        <v>0</v>
      </c>
      <c r="G38" s="80" t="s">
        <v>182</v>
      </c>
    </row>
    <row r="39" spans="1:7" ht="56.25" customHeight="1">
      <c r="A39" s="256"/>
      <c r="B39" s="246"/>
      <c r="C39" s="13" t="s">
        <v>50</v>
      </c>
      <c r="D39" s="88">
        <v>960</v>
      </c>
      <c r="E39" s="88">
        <v>960</v>
      </c>
      <c r="F39" s="89">
        <f t="shared" si="0"/>
        <v>0</v>
      </c>
      <c r="G39" s="80" t="s">
        <v>144</v>
      </c>
    </row>
    <row r="40" spans="1:7" ht="47.25" customHeight="1">
      <c r="A40" s="256"/>
      <c r="B40" s="246"/>
      <c r="C40" s="12" t="s">
        <v>51</v>
      </c>
      <c r="D40" s="88">
        <v>4500</v>
      </c>
      <c r="E40" s="88">
        <v>4500</v>
      </c>
      <c r="F40" s="89">
        <f t="shared" si="0"/>
        <v>0</v>
      </c>
      <c r="G40" s="80" t="s">
        <v>180</v>
      </c>
    </row>
    <row r="41" spans="1:7" ht="44.25" customHeight="1">
      <c r="A41" s="256"/>
      <c r="B41" s="246"/>
      <c r="C41" s="13" t="s">
        <v>67</v>
      </c>
      <c r="D41" s="169">
        <v>18122</v>
      </c>
      <c r="E41" s="169">
        <v>18122</v>
      </c>
      <c r="F41" s="89">
        <f t="shared" si="0"/>
        <v>0</v>
      </c>
      <c r="G41" s="80" t="s">
        <v>143</v>
      </c>
    </row>
    <row r="42" spans="1:7" ht="58.5" customHeight="1">
      <c r="A42" s="257"/>
      <c r="B42" s="252"/>
      <c r="C42" s="156" t="s">
        <v>53</v>
      </c>
      <c r="D42" s="170">
        <v>29320</v>
      </c>
      <c r="E42" s="170">
        <v>29320</v>
      </c>
      <c r="F42" s="158">
        <f>(E42-D42)</f>
        <v>0</v>
      </c>
      <c r="G42" s="159" t="s">
        <v>183</v>
      </c>
    </row>
    <row r="43" spans="1:7" ht="30.75" customHeight="1">
      <c r="A43" s="255" t="s">
        <v>12</v>
      </c>
      <c r="B43" s="245" t="s">
        <v>14</v>
      </c>
      <c r="C43" s="14" t="s">
        <v>19</v>
      </c>
      <c r="D43" s="90">
        <f>TRUNC(D44+D45)</f>
        <v>38932</v>
      </c>
      <c r="E43" s="90">
        <f>TRUNC(E44+E45)</f>
        <v>45058</v>
      </c>
      <c r="F43" s="104">
        <f t="shared" si="0"/>
        <v>6126</v>
      </c>
      <c r="G43" s="81">
        <v>45058400</v>
      </c>
    </row>
    <row r="44" spans="1:7" ht="278.25" customHeight="1">
      <c r="A44" s="257"/>
      <c r="B44" s="252"/>
      <c r="C44" s="13" t="s">
        <v>59</v>
      </c>
      <c r="D44" s="91">
        <v>38077</v>
      </c>
      <c r="E44" s="91">
        <v>44203</v>
      </c>
      <c r="F44" s="101">
        <f>E44-D44</f>
        <v>6126</v>
      </c>
      <c r="G44" s="80" t="s">
        <v>220</v>
      </c>
    </row>
    <row r="45" spans="1:7" ht="132" customHeight="1">
      <c r="A45" s="160" t="s">
        <v>12</v>
      </c>
      <c r="B45" s="11" t="s">
        <v>14</v>
      </c>
      <c r="C45" s="13" t="s">
        <v>66</v>
      </c>
      <c r="D45" s="88">
        <v>855</v>
      </c>
      <c r="E45" s="88">
        <v>855</v>
      </c>
      <c r="F45" s="89">
        <f aca="true" t="shared" si="1" ref="F45:F50">(E45-D45)</f>
        <v>0</v>
      </c>
      <c r="G45" s="80" t="s">
        <v>187</v>
      </c>
    </row>
    <row r="46" spans="1:7" ht="30" customHeight="1">
      <c r="A46" s="255" t="s">
        <v>83</v>
      </c>
      <c r="B46" s="245" t="s">
        <v>55</v>
      </c>
      <c r="C46" s="14" t="s">
        <v>19</v>
      </c>
      <c r="D46" s="85">
        <f>TRUNC(D47)</f>
        <v>3600</v>
      </c>
      <c r="E46" s="85">
        <f>TRUNC(E47)</f>
        <v>3600</v>
      </c>
      <c r="F46" s="85">
        <f t="shared" si="1"/>
        <v>0</v>
      </c>
      <c r="G46" s="81">
        <v>3600000</v>
      </c>
    </row>
    <row r="47" spans="1:9" ht="100.5" customHeight="1">
      <c r="A47" s="257"/>
      <c r="B47" s="252"/>
      <c r="C47" s="12" t="s">
        <v>83</v>
      </c>
      <c r="D47" s="88">
        <v>3600</v>
      </c>
      <c r="E47" s="88">
        <v>3600</v>
      </c>
      <c r="F47" s="88">
        <f t="shared" si="1"/>
        <v>0</v>
      </c>
      <c r="G47" s="80" t="s">
        <v>190</v>
      </c>
      <c r="I47" s="1"/>
    </row>
    <row r="48" spans="1:7" ht="36.75" customHeight="1">
      <c r="A48" s="245" t="s">
        <v>146</v>
      </c>
      <c r="B48" s="245" t="s">
        <v>146</v>
      </c>
      <c r="C48" s="14" t="s">
        <v>19</v>
      </c>
      <c r="D48" s="85">
        <f>TRUNC(D49+D50)</f>
        <v>7883</v>
      </c>
      <c r="E48" s="85">
        <f>TRUNC(E49+E50)</f>
        <v>7948</v>
      </c>
      <c r="F48" s="85">
        <f t="shared" si="1"/>
        <v>65</v>
      </c>
      <c r="G48" s="81">
        <v>7948850</v>
      </c>
    </row>
    <row r="49" spans="1:7" ht="52.5" customHeight="1">
      <c r="A49" s="256"/>
      <c r="B49" s="256"/>
      <c r="C49" s="12" t="s">
        <v>30</v>
      </c>
      <c r="D49" s="88">
        <v>7863</v>
      </c>
      <c r="E49" s="88">
        <v>7925</v>
      </c>
      <c r="F49" s="88">
        <f t="shared" si="1"/>
        <v>62</v>
      </c>
      <c r="G49" s="80" t="s">
        <v>215</v>
      </c>
    </row>
    <row r="50" spans="1:7" ht="62.25" customHeight="1">
      <c r="A50" s="257"/>
      <c r="B50" s="257"/>
      <c r="C50" s="12" t="s">
        <v>145</v>
      </c>
      <c r="D50" s="88">
        <v>20</v>
      </c>
      <c r="E50" s="88">
        <v>23</v>
      </c>
      <c r="F50" s="88">
        <f t="shared" si="1"/>
        <v>3</v>
      </c>
      <c r="G50" s="80" t="s">
        <v>214</v>
      </c>
    </row>
    <row r="51" spans="1:7" ht="13.5">
      <c r="A51" s="1"/>
      <c r="B51" s="1"/>
      <c r="C51" s="1"/>
      <c r="D51" s="1"/>
      <c r="E51" s="1"/>
      <c r="F51" s="1"/>
      <c r="G51" s="1"/>
    </row>
    <row r="52" spans="1:7" ht="13.5">
      <c r="A52" s="1"/>
      <c r="B52" s="1"/>
      <c r="C52" s="1"/>
      <c r="D52" s="1"/>
      <c r="E52" s="1"/>
      <c r="F52" s="1"/>
      <c r="G52" s="1"/>
    </row>
    <row r="53" spans="1:7" ht="13.5">
      <c r="A53" s="1"/>
      <c r="B53" s="1"/>
      <c r="C53" s="1"/>
      <c r="D53" s="1"/>
      <c r="E53" s="1"/>
      <c r="F53" s="1"/>
      <c r="G53" s="1"/>
    </row>
    <row r="54" spans="1:7" ht="13.5">
      <c r="A54" s="1"/>
      <c r="B54" s="1"/>
      <c r="C54" s="1"/>
      <c r="D54" s="1"/>
      <c r="E54" s="1"/>
      <c r="F54" s="1"/>
      <c r="G54" s="1"/>
    </row>
    <row r="55" spans="1:7" ht="13.5">
      <c r="A55" s="1"/>
      <c r="B55" s="1"/>
      <c r="C55" s="1"/>
      <c r="D55" s="1"/>
      <c r="E55" s="1"/>
      <c r="F55" s="1"/>
      <c r="G55" s="1"/>
    </row>
    <row r="56" spans="1:7" ht="13.5">
      <c r="A56" s="1"/>
      <c r="B56" s="1"/>
      <c r="C56" s="1"/>
      <c r="D56" s="1"/>
      <c r="E56" s="1"/>
      <c r="F56" s="1"/>
      <c r="G56" s="1"/>
    </row>
    <row r="57" spans="1:7" ht="13.5">
      <c r="A57" s="1"/>
      <c r="B57" s="1"/>
      <c r="C57" s="1"/>
      <c r="D57" s="1"/>
      <c r="E57" s="1"/>
      <c r="F57" s="1"/>
      <c r="G57" s="1"/>
    </row>
    <row r="58" spans="1:7" ht="13.5">
      <c r="A58" s="1"/>
      <c r="B58" s="1"/>
      <c r="C58" s="1"/>
      <c r="D58" s="1"/>
      <c r="E58" s="1"/>
      <c r="F58" s="1"/>
      <c r="G58" s="1"/>
    </row>
    <row r="59" spans="1:7" ht="13.5">
      <c r="A59" s="1"/>
      <c r="B59" s="1"/>
      <c r="C59" s="1"/>
      <c r="D59" s="1"/>
      <c r="E59" s="1"/>
      <c r="F59" s="1"/>
      <c r="G59" s="1"/>
    </row>
    <row r="60" spans="1:7" ht="13.5">
      <c r="A60" s="1"/>
      <c r="B60" s="1"/>
      <c r="C60" s="1"/>
      <c r="D60" s="1"/>
      <c r="E60" s="1"/>
      <c r="F60" s="1"/>
      <c r="G60" s="1"/>
    </row>
    <row r="61" spans="1:7" ht="13.5">
      <c r="A61" s="1"/>
      <c r="B61" s="1"/>
      <c r="C61" s="1"/>
      <c r="D61" s="1"/>
      <c r="E61" s="1"/>
      <c r="F61" s="1"/>
      <c r="G61" s="1"/>
    </row>
    <row r="62" spans="1:7" ht="13.5">
      <c r="A62" s="1"/>
      <c r="B62" s="1"/>
      <c r="C62" s="1"/>
      <c r="D62" s="1"/>
      <c r="E62" s="1"/>
      <c r="F62" s="1"/>
      <c r="G62" s="1"/>
    </row>
    <row r="63" spans="1:7" ht="13.5">
      <c r="A63" s="1"/>
      <c r="B63" s="1"/>
      <c r="C63" s="1"/>
      <c r="D63" s="1"/>
      <c r="E63" s="1"/>
      <c r="F63" s="1"/>
      <c r="G63" s="1"/>
    </row>
    <row r="64" spans="1:7" ht="13.5">
      <c r="A64" s="1"/>
      <c r="B64" s="1"/>
      <c r="C64" s="1"/>
      <c r="D64" s="1"/>
      <c r="E64" s="1"/>
      <c r="F64" s="1"/>
      <c r="G64" s="1"/>
    </row>
    <row r="65" spans="1:7" ht="13.5">
      <c r="A65" s="1"/>
      <c r="B65" s="1"/>
      <c r="C65" s="1"/>
      <c r="D65" s="1"/>
      <c r="E65" s="1"/>
      <c r="F65" s="1"/>
      <c r="G65" s="1"/>
    </row>
    <row r="66" spans="1:7" ht="13.5">
      <c r="A66" s="1"/>
      <c r="B66" s="1"/>
      <c r="C66" s="1"/>
      <c r="D66" s="1"/>
      <c r="E66" s="1"/>
      <c r="F66" s="1"/>
      <c r="G66" s="1"/>
    </row>
    <row r="67" spans="1:7" ht="13.5">
      <c r="A67" s="1"/>
      <c r="B67" s="1"/>
      <c r="C67" s="1"/>
      <c r="D67" s="1"/>
      <c r="E67" s="1"/>
      <c r="F67" s="1"/>
      <c r="G67" s="1"/>
    </row>
    <row r="68" spans="1:7" ht="13.5">
      <c r="A68" s="1"/>
      <c r="B68" s="1"/>
      <c r="C68" s="1"/>
      <c r="D68" s="1"/>
      <c r="E68" s="1"/>
      <c r="F68" s="1"/>
      <c r="G68" s="1"/>
    </row>
    <row r="69" spans="1:7" ht="13.5">
      <c r="A69" s="1"/>
      <c r="B69" s="1"/>
      <c r="C69" s="1"/>
      <c r="D69" s="1"/>
      <c r="E69" s="1"/>
      <c r="F69" s="1"/>
      <c r="G69" s="1"/>
    </row>
    <row r="70" spans="1:7" ht="13.5">
      <c r="A70" s="1"/>
      <c r="B70" s="1"/>
      <c r="C70" s="1"/>
      <c r="D70" s="1"/>
      <c r="E70" s="1"/>
      <c r="F70" s="1"/>
      <c r="G70" s="1"/>
    </row>
    <row r="71" spans="1:7" ht="13.5">
      <c r="A71" s="1"/>
      <c r="B71" s="1"/>
      <c r="C71" s="1"/>
      <c r="D71" s="1"/>
      <c r="E71" s="1"/>
      <c r="F71" s="1"/>
      <c r="G71" s="1"/>
    </row>
    <row r="72" spans="1:7" ht="13.5">
      <c r="A72" s="1"/>
      <c r="B72" s="1"/>
      <c r="C72" s="1"/>
      <c r="D72" s="1"/>
      <c r="E72" s="1"/>
      <c r="F72" s="1"/>
      <c r="G72" s="1"/>
    </row>
  </sheetData>
  <sheetProtection/>
  <mergeCells count="29">
    <mergeCell ref="B35:B36"/>
    <mergeCell ref="E2:E3"/>
    <mergeCell ref="B6:B19"/>
    <mergeCell ref="A5:A19"/>
    <mergeCell ref="A2:C2"/>
    <mergeCell ref="D2:D3"/>
    <mergeCell ref="D7:D17"/>
    <mergeCell ref="A37:A42"/>
    <mergeCell ref="B37:B42"/>
    <mergeCell ref="B21:B23"/>
    <mergeCell ref="A28:A30"/>
    <mergeCell ref="B28:B30"/>
    <mergeCell ref="A26:A27"/>
    <mergeCell ref="A31:A34"/>
    <mergeCell ref="B31:B34"/>
    <mergeCell ref="B26:B27"/>
    <mergeCell ref="A35:A36"/>
    <mergeCell ref="G2:G3"/>
    <mergeCell ref="A4:C4"/>
    <mergeCell ref="B5:C5"/>
    <mergeCell ref="E7:E17"/>
    <mergeCell ref="C7:C17"/>
    <mergeCell ref="F7:F17"/>
    <mergeCell ref="A43:A44"/>
    <mergeCell ref="B43:B44"/>
    <mergeCell ref="A48:A50"/>
    <mergeCell ref="B48:B50"/>
    <mergeCell ref="A46:A47"/>
    <mergeCell ref="B46:B47"/>
  </mergeCells>
  <printOptions/>
  <pageMargins left="0.11811023622047245" right="0.11811023622047245" top="0.6299212598425197" bottom="0.7086614173228347" header="0.31496062992125984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3:W125"/>
  <sheetViews>
    <sheetView zoomScalePageLayoutView="0" workbookViewId="0" topLeftCell="C1">
      <selection activeCell="E27" sqref="E27:E28"/>
    </sheetView>
  </sheetViews>
  <sheetFormatPr defaultColWidth="8.88671875" defaultRowHeight="13.5"/>
  <cols>
    <col min="1" max="1" width="4.4453125" style="1" customWidth="1"/>
    <col min="2" max="2" width="9.5546875" style="1" customWidth="1"/>
    <col min="3" max="3" width="7.3359375" style="1" customWidth="1"/>
    <col min="4" max="4" width="5.5546875" style="1" customWidth="1"/>
    <col min="5" max="5" width="13.10546875" style="0" customWidth="1"/>
    <col min="6" max="6" width="12.21484375" style="0" customWidth="1"/>
    <col min="7" max="7" width="13.10546875" style="0" customWidth="1"/>
    <col min="8" max="8" width="11.10546875" style="0" customWidth="1"/>
    <col min="9" max="9" width="12.3359375" style="0" customWidth="1"/>
    <col min="10" max="10" width="12.21484375" style="0" customWidth="1"/>
    <col min="11" max="11" width="12.10546875" style="0" customWidth="1"/>
    <col min="12" max="12" width="12.88671875" style="0" customWidth="1"/>
    <col min="13" max="13" width="18.77734375" style="109" customWidth="1"/>
  </cols>
  <sheetData>
    <row r="1" ht="3.75" customHeight="1"/>
    <row r="2" ht="13.5" hidden="1"/>
    <row r="3" spans="1:11" ht="20.25" customHeight="1">
      <c r="A3" s="291" t="s">
        <v>129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23" s="4" customFormat="1" ht="19.5" customHeight="1">
      <c r="A4" s="32" t="s">
        <v>84</v>
      </c>
      <c r="B4" s="32" t="s">
        <v>96</v>
      </c>
      <c r="C4" s="33" t="s">
        <v>109</v>
      </c>
      <c r="D4" s="34" t="s">
        <v>85</v>
      </c>
      <c r="E4" s="32" t="s">
        <v>110</v>
      </c>
      <c r="F4" s="32" t="s">
        <v>111</v>
      </c>
      <c r="G4" s="32" t="s">
        <v>86</v>
      </c>
      <c r="H4" s="32" t="s">
        <v>126</v>
      </c>
      <c r="I4" s="32" t="s">
        <v>87</v>
      </c>
      <c r="J4" s="32" t="s">
        <v>88</v>
      </c>
      <c r="K4" s="32" t="s">
        <v>61</v>
      </c>
      <c r="L4" s="17"/>
      <c r="M4" s="110"/>
      <c r="N4" s="17"/>
      <c r="O4" s="17"/>
      <c r="P4" s="17"/>
      <c r="Q4" s="17"/>
      <c r="R4" s="17"/>
      <c r="S4" s="17"/>
      <c r="T4" s="17"/>
      <c r="U4"/>
      <c r="V4"/>
      <c r="W4"/>
    </row>
    <row r="5" spans="1:23" ht="10.5" customHeight="1">
      <c r="A5" s="292">
        <v>1</v>
      </c>
      <c r="B5" s="293" t="s">
        <v>91</v>
      </c>
      <c r="C5" s="294" t="s">
        <v>130</v>
      </c>
      <c r="D5" s="105">
        <v>7</v>
      </c>
      <c r="E5" s="285">
        <f>SUM(F5+E85+F85+G85+H85+J85+K85)</f>
        <v>38220320</v>
      </c>
      <c r="F5" s="281">
        <f>TRUNC(G7+H5+I7+J7+K5+E47+F45+G47+H45+I45+J45+K45)</f>
        <v>32551080</v>
      </c>
      <c r="G5" s="31">
        <v>4447800</v>
      </c>
      <c r="H5" s="285">
        <v>1890000</v>
      </c>
      <c r="I5" s="31">
        <f>TRUNC((G5/3/2*1),-1)</f>
        <v>741300</v>
      </c>
      <c r="J5" s="31">
        <f>I5</f>
        <v>741300</v>
      </c>
      <c r="K5" s="286">
        <v>504000</v>
      </c>
      <c r="L5" s="10"/>
      <c r="M5" s="111"/>
      <c r="N5" s="10"/>
      <c r="O5" s="10"/>
      <c r="P5" s="4"/>
      <c r="Q5" s="4"/>
      <c r="R5" s="4"/>
      <c r="S5" s="4"/>
      <c r="T5" s="4"/>
      <c r="U5" s="4"/>
      <c r="V5" s="4"/>
      <c r="W5" s="4"/>
    </row>
    <row r="6" spans="1:23" ht="10.5" customHeight="1">
      <c r="A6" s="292"/>
      <c r="B6" s="293"/>
      <c r="C6" s="294"/>
      <c r="D6" s="105">
        <v>8</v>
      </c>
      <c r="E6" s="285"/>
      <c r="F6" s="281"/>
      <c r="G6" s="31">
        <v>13674150</v>
      </c>
      <c r="H6" s="285"/>
      <c r="I6" s="31">
        <f>TRUNC((G6/9/2*3),-1)</f>
        <v>2279020</v>
      </c>
      <c r="J6" s="31">
        <f>I6</f>
        <v>2279020</v>
      </c>
      <c r="K6" s="287"/>
      <c r="L6" s="10"/>
      <c r="M6" s="111"/>
      <c r="N6" s="10"/>
      <c r="O6" s="10"/>
      <c r="P6" s="4"/>
      <c r="Q6" s="4"/>
      <c r="R6" s="4"/>
      <c r="S6" s="4"/>
      <c r="T6" s="4"/>
      <c r="U6" s="4"/>
      <c r="V6" s="4"/>
      <c r="W6" s="4"/>
    </row>
    <row r="7" spans="1:13" ht="10.5" customHeight="1">
      <c r="A7" s="292"/>
      <c r="B7" s="293"/>
      <c r="C7" s="294"/>
      <c r="D7" s="105" t="s">
        <v>112</v>
      </c>
      <c r="E7" s="285"/>
      <c r="F7" s="281"/>
      <c r="G7" s="18">
        <f>SUM(G5:G6)</f>
        <v>18121950</v>
      </c>
      <c r="H7" s="285"/>
      <c r="I7" s="18">
        <f>SUM(I5:I6)</f>
        <v>3020320</v>
      </c>
      <c r="J7" s="18">
        <f>SUM(J5:J6)</f>
        <v>3020320</v>
      </c>
      <c r="K7" s="288"/>
      <c r="L7" s="6"/>
      <c r="M7" s="20"/>
    </row>
    <row r="8" spans="1:13" ht="10.5" customHeight="1">
      <c r="A8" s="289">
        <v>2</v>
      </c>
      <c r="B8" s="296" t="s">
        <v>16</v>
      </c>
      <c r="C8" s="282" t="s">
        <v>60</v>
      </c>
      <c r="D8" s="105">
        <v>11</v>
      </c>
      <c r="E8" s="285">
        <f>SUM(F8+E88+F88+G88+H88+J88+K88)</f>
        <v>38460540</v>
      </c>
      <c r="F8" s="281">
        <f>TRUNC(G10+H8+I10+J10+K8+E50+F48+G50+H48+I48+J48+K48)</f>
        <v>32755660</v>
      </c>
      <c r="G8" s="18">
        <v>8505000</v>
      </c>
      <c r="H8" s="285">
        <v>1890000</v>
      </c>
      <c r="I8" s="31">
        <f>TRUNC((G8/6/2*2),-1)</f>
        <v>1417500</v>
      </c>
      <c r="J8" s="31">
        <f>I8</f>
        <v>1417500</v>
      </c>
      <c r="K8" s="286">
        <v>630000</v>
      </c>
      <c r="L8" s="6"/>
      <c r="M8" s="20"/>
    </row>
    <row r="9" spans="1:13" ht="10.5" customHeight="1">
      <c r="A9" s="295"/>
      <c r="B9" s="297"/>
      <c r="C9" s="283"/>
      <c r="D9" s="105">
        <v>12</v>
      </c>
      <c r="E9" s="285"/>
      <c r="F9" s="281"/>
      <c r="G9" s="18">
        <v>8719200</v>
      </c>
      <c r="H9" s="285"/>
      <c r="I9" s="31">
        <f>TRUNC((G9/6/2*2),-1)</f>
        <v>1453200</v>
      </c>
      <c r="J9" s="31">
        <f>I9</f>
        <v>1453200</v>
      </c>
      <c r="K9" s="287"/>
      <c r="L9" s="6"/>
      <c r="M9" s="20"/>
    </row>
    <row r="10" spans="1:13" ht="10.5" customHeight="1">
      <c r="A10" s="290"/>
      <c r="B10" s="298"/>
      <c r="C10" s="284"/>
      <c r="D10" s="105" t="s">
        <v>112</v>
      </c>
      <c r="E10" s="285"/>
      <c r="F10" s="281"/>
      <c r="G10" s="18">
        <f>SUM(G8:G9)</f>
        <v>17224200</v>
      </c>
      <c r="H10" s="285"/>
      <c r="I10" s="18">
        <f>SUM(I8:I9)</f>
        <v>2870700</v>
      </c>
      <c r="J10" s="18">
        <f>SUM(J8:J9)</f>
        <v>2870700</v>
      </c>
      <c r="K10" s="288"/>
      <c r="L10" s="6"/>
      <c r="M10" s="20"/>
    </row>
    <row r="11" spans="1:13" ht="10.5" customHeight="1">
      <c r="A11" s="289">
        <v>3</v>
      </c>
      <c r="B11" s="296" t="s">
        <v>131</v>
      </c>
      <c r="C11" s="282" t="s">
        <v>132</v>
      </c>
      <c r="D11" s="105">
        <v>6</v>
      </c>
      <c r="E11" s="285">
        <f>SUM(F11+E91+F91+G91+H91+J91+K91)</f>
        <v>33038920</v>
      </c>
      <c r="F11" s="272">
        <f>TRUNC(G13+H11+I13+J13+K11+E53+F51+G53+H51+I51+J51+K52)</f>
        <v>28138240</v>
      </c>
      <c r="G11" s="18">
        <v>10602900</v>
      </c>
      <c r="H11" s="286">
        <v>1890000</v>
      </c>
      <c r="I11" s="31">
        <f>TRUNC((G11/10/2*3),-1)</f>
        <v>1590430</v>
      </c>
      <c r="J11" s="31">
        <f>TRUNC((G11/10/2*3),-1)</f>
        <v>1590430</v>
      </c>
      <c r="K11" s="286">
        <v>504000</v>
      </c>
      <c r="L11" s="6"/>
      <c r="M11" s="20"/>
    </row>
    <row r="12" spans="1:13" ht="10.5" customHeight="1">
      <c r="A12" s="295"/>
      <c r="B12" s="297"/>
      <c r="C12" s="283"/>
      <c r="D12" s="105">
        <v>7</v>
      </c>
      <c r="E12" s="285"/>
      <c r="F12" s="273"/>
      <c r="G12" s="18">
        <v>4447800</v>
      </c>
      <c r="H12" s="287"/>
      <c r="I12" s="31">
        <f>TRUNC((G12/3/2*1),-1)</f>
        <v>741300</v>
      </c>
      <c r="J12" s="18">
        <f>(I12)</f>
        <v>741300</v>
      </c>
      <c r="K12" s="287"/>
      <c r="L12" s="6"/>
      <c r="M12" s="20"/>
    </row>
    <row r="13" spans="1:11" ht="10.5" customHeight="1">
      <c r="A13" s="290"/>
      <c r="B13" s="298"/>
      <c r="C13" s="284"/>
      <c r="D13" s="105" t="s">
        <v>112</v>
      </c>
      <c r="E13" s="285"/>
      <c r="F13" s="274"/>
      <c r="G13" s="18">
        <f>SUM(G11:G12)</f>
        <v>15050700</v>
      </c>
      <c r="H13" s="288"/>
      <c r="I13" s="18">
        <f>SUM(I11:I12)</f>
        <v>2331730</v>
      </c>
      <c r="J13" s="18">
        <f>SUM(J11:J12)</f>
        <v>2331730</v>
      </c>
      <c r="K13" s="288"/>
    </row>
    <row r="14" spans="1:11" ht="13.5" customHeight="1">
      <c r="A14" s="289">
        <v>4</v>
      </c>
      <c r="B14" s="296" t="s">
        <v>123</v>
      </c>
      <c r="C14" s="282" t="s">
        <v>17</v>
      </c>
      <c r="D14" s="105">
        <v>16</v>
      </c>
      <c r="E14" s="285">
        <f>SUM(F14+E94+F94+G94+H94+J94+K94)</f>
        <v>38346200</v>
      </c>
      <c r="F14" s="281">
        <f>SUM(G15,H14,I15,J15,K14,E55,F54,G55,H54,I54,J54,K54)</f>
        <v>32658280</v>
      </c>
      <c r="G14" s="18">
        <v>16216200</v>
      </c>
      <c r="H14" s="286">
        <v>2520000</v>
      </c>
      <c r="I14" s="31">
        <f>TRUNC((G14/12*2),-1)</f>
        <v>2702700</v>
      </c>
      <c r="J14" s="31">
        <f>I14</f>
        <v>2702700</v>
      </c>
      <c r="K14" s="286">
        <v>756000</v>
      </c>
    </row>
    <row r="15" spans="1:11" ht="13.5" customHeight="1">
      <c r="A15" s="290"/>
      <c r="B15" s="298"/>
      <c r="C15" s="284"/>
      <c r="D15" s="105" t="s">
        <v>112</v>
      </c>
      <c r="E15" s="285"/>
      <c r="F15" s="281"/>
      <c r="G15" s="18">
        <f>SUM(G14)</f>
        <v>16216200</v>
      </c>
      <c r="H15" s="288"/>
      <c r="I15" s="31">
        <f>TRUNC((G15/12*2),-1)</f>
        <v>2702700</v>
      </c>
      <c r="J15" s="31">
        <f>I15</f>
        <v>2702700</v>
      </c>
      <c r="K15" s="288"/>
    </row>
    <row r="16" spans="1:11" ht="10.5" customHeight="1">
      <c r="A16" s="292">
        <v>5</v>
      </c>
      <c r="B16" s="299" t="s">
        <v>0</v>
      </c>
      <c r="C16" s="299" t="s">
        <v>1</v>
      </c>
      <c r="D16" s="105">
        <v>3</v>
      </c>
      <c r="E16" s="285">
        <f>SUM(F16+E96+F96+G96+H96+J96+K96)</f>
        <v>27694030</v>
      </c>
      <c r="F16" s="281">
        <f>SUM(G18+H16+I18+J18+K16+E58+F56+G58+H56+I56+J56+K56)</f>
        <v>23586160</v>
      </c>
      <c r="G16" s="18">
        <v>5903100</v>
      </c>
      <c r="H16" s="286">
        <v>1890000</v>
      </c>
      <c r="I16" s="31">
        <f>TRUNC((G16/6),-1)</f>
        <v>983850</v>
      </c>
      <c r="J16" s="18">
        <f>(I16)</f>
        <v>983850</v>
      </c>
      <c r="K16" s="285"/>
    </row>
    <row r="17" spans="1:11" ht="10.5" customHeight="1">
      <c r="A17" s="292"/>
      <c r="B17" s="299"/>
      <c r="C17" s="299"/>
      <c r="D17" s="105">
        <v>4</v>
      </c>
      <c r="E17" s="285"/>
      <c r="F17" s="281"/>
      <c r="G17" s="18">
        <v>6073200</v>
      </c>
      <c r="H17" s="287"/>
      <c r="I17" s="31">
        <f>TRUNC((G17/6),-1)</f>
        <v>1012200</v>
      </c>
      <c r="J17" s="18">
        <f>(I17)</f>
        <v>1012200</v>
      </c>
      <c r="K17" s="285"/>
    </row>
    <row r="18" spans="1:11" ht="10.5" customHeight="1">
      <c r="A18" s="292"/>
      <c r="B18" s="299"/>
      <c r="C18" s="299"/>
      <c r="D18" s="105" t="s">
        <v>112</v>
      </c>
      <c r="E18" s="285"/>
      <c r="F18" s="281"/>
      <c r="G18" s="18">
        <f>(G16+G17)</f>
        <v>11976300</v>
      </c>
      <c r="H18" s="288"/>
      <c r="I18" s="18">
        <f>SUM(I16:I17)</f>
        <v>1996050</v>
      </c>
      <c r="J18" s="18">
        <f>SUM(J16:J17)</f>
        <v>1996050</v>
      </c>
      <c r="K18" s="285"/>
    </row>
    <row r="19" spans="1:11" ht="13.5" customHeight="1">
      <c r="A19" s="300">
        <v>6</v>
      </c>
      <c r="B19" s="293" t="s">
        <v>92</v>
      </c>
      <c r="C19" s="294" t="s">
        <v>124</v>
      </c>
      <c r="D19" s="105">
        <v>7</v>
      </c>
      <c r="E19" s="285">
        <f>SUM(F19+E99+F99+G99+H99+J99+K99)</f>
        <v>32267900</v>
      </c>
      <c r="F19" s="281">
        <f>SUM(G20,H19,I20,J20,K19,E60,F59,G60,H59,I59,J59,K59)</f>
        <v>27481570</v>
      </c>
      <c r="G19" s="18">
        <v>13167000</v>
      </c>
      <c r="H19" s="285">
        <v>2520000</v>
      </c>
      <c r="I19" s="31">
        <f>TRUNC((G19/12*2),-1)</f>
        <v>2194500</v>
      </c>
      <c r="J19" s="18">
        <f>(I19)</f>
        <v>2194500</v>
      </c>
      <c r="K19" s="285">
        <v>504000</v>
      </c>
    </row>
    <row r="20" spans="1:11" ht="14.25" customHeight="1">
      <c r="A20" s="300"/>
      <c r="B20" s="293"/>
      <c r="C20" s="294"/>
      <c r="D20" s="105" t="s">
        <v>112</v>
      </c>
      <c r="E20" s="285"/>
      <c r="F20" s="281"/>
      <c r="G20" s="18">
        <f>(G19:G19)</f>
        <v>13167000</v>
      </c>
      <c r="H20" s="285"/>
      <c r="I20" s="18">
        <f>SUM(I19:I19)</f>
        <v>2194500</v>
      </c>
      <c r="J20" s="18">
        <f>(J19:J19)</f>
        <v>2194500</v>
      </c>
      <c r="K20" s="285"/>
    </row>
    <row r="21" spans="1:11" ht="10.5" customHeight="1">
      <c r="A21" s="289">
        <v>8</v>
      </c>
      <c r="B21" s="296" t="s">
        <v>92</v>
      </c>
      <c r="C21" s="282" t="s">
        <v>134</v>
      </c>
      <c r="D21" s="105">
        <v>5</v>
      </c>
      <c r="E21" s="286">
        <f>SUM(F21+E101+F101+G101+H101+J101+K101)</f>
        <v>29245590</v>
      </c>
      <c r="F21" s="272">
        <f>SUM(G23,H21,I23,J23,K21,E63,F61,G63,H61,I61,J61,K61)</f>
        <v>24907570</v>
      </c>
      <c r="G21" s="18">
        <v>9364950</v>
      </c>
      <c r="H21" s="286">
        <v>1890000</v>
      </c>
      <c r="I21" s="31">
        <f>TRUNC((G21/9/2*3),-1)</f>
        <v>1560820</v>
      </c>
      <c r="J21" s="18">
        <f>(I21)</f>
        <v>1560820</v>
      </c>
      <c r="K21" s="286">
        <v>157500</v>
      </c>
    </row>
    <row r="22" spans="1:11" ht="10.5" customHeight="1">
      <c r="A22" s="295"/>
      <c r="B22" s="297"/>
      <c r="C22" s="283"/>
      <c r="D22" s="105">
        <v>6</v>
      </c>
      <c r="E22" s="287"/>
      <c r="F22" s="273"/>
      <c r="G22" s="18">
        <v>3206700</v>
      </c>
      <c r="H22" s="287"/>
      <c r="I22" s="31">
        <f>TRUNC((G22/3/2*1),-1)</f>
        <v>534450</v>
      </c>
      <c r="J22" s="18">
        <f>(I22)</f>
        <v>534450</v>
      </c>
      <c r="K22" s="287"/>
    </row>
    <row r="23" spans="1:11" ht="10.5" customHeight="1">
      <c r="A23" s="290"/>
      <c r="B23" s="298"/>
      <c r="C23" s="284"/>
      <c r="D23" s="105" t="s">
        <v>112</v>
      </c>
      <c r="E23" s="288"/>
      <c r="F23" s="274"/>
      <c r="G23" s="18">
        <f>SUM(G21:G22)</f>
        <v>12571650</v>
      </c>
      <c r="H23" s="288"/>
      <c r="I23" s="18">
        <f>SUM(I21:I22)</f>
        <v>2095270</v>
      </c>
      <c r="J23" s="18">
        <f>SUM(J21:J22)</f>
        <v>2095270</v>
      </c>
      <c r="K23" s="288"/>
    </row>
    <row r="24" spans="1:11" ht="10.5" customHeight="1">
      <c r="A24" s="300">
        <v>9</v>
      </c>
      <c r="B24" s="293" t="s">
        <v>92</v>
      </c>
      <c r="C24" s="294" t="s">
        <v>135</v>
      </c>
      <c r="D24" s="105">
        <v>1</v>
      </c>
      <c r="E24" s="286">
        <f>SUM(F24+E104+F104+G104+H104+J104+K104)</f>
        <v>26096550</v>
      </c>
      <c r="F24" s="281">
        <f>SUM(G26,H24,I26,J26,K24,E66,F64,G66,H64,I64,J64,K64)</f>
        <v>22225650</v>
      </c>
      <c r="G24" s="31">
        <v>8344350</v>
      </c>
      <c r="H24" s="285">
        <v>1890000</v>
      </c>
      <c r="I24" s="31">
        <f>TRUNC((G24/9/2*3),-1)</f>
        <v>1390720</v>
      </c>
      <c r="J24" s="18">
        <f aca="true" t="shared" si="0" ref="J24:J29">(I24)</f>
        <v>1390720</v>
      </c>
      <c r="K24" s="285"/>
    </row>
    <row r="25" spans="1:11" ht="10.5" customHeight="1">
      <c r="A25" s="300"/>
      <c r="B25" s="293"/>
      <c r="C25" s="294"/>
      <c r="D25" s="105">
        <v>2</v>
      </c>
      <c r="E25" s="287"/>
      <c r="F25" s="281"/>
      <c r="G25" s="31">
        <v>2866500</v>
      </c>
      <c r="H25" s="285"/>
      <c r="I25" s="31">
        <f>TRUNC((G25/3/2*1),-1)</f>
        <v>477750</v>
      </c>
      <c r="J25" s="18">
        <f t="shared" si="0"/>
        <v>477750</v>
      </c>
      <c r="K25" s="285"/>
    </row>
    <row r="26" spans="1:11" ht="10.5" customHeight="1">
      <c r="A26" s="300"/>
      <c r="B26" s="293"/>
      <c r="C26" s="294"/>
      <c r="D26" s="105" t="s">
        <v>112</v>
      </c>
      <c r="E26" s="288"/>
      <c r="F26" s="281"/>
      <c r="G26" s="31">
        <f>SUM(G24:G25)</f>
        <v>11210850</v>
      </c>
      <c r="H26" s="285"/>
      <c r="I26" s="18">
        <f>SUM(I24:I25)</f>
        <v>1868470</v>
      </c>
      <c r="J26" s="18">
        <f t="shared" si="0"/>
        <v>1868470</v>
      </c>
      <c r="K26" s="285"/>
    </row>
    <row r="27" spans="1:11" ht="13.5" customHeight="1">
      <c r="A27" s="300">
        <v>10</v>
      </c>
      <c r="B27" s="299" t="s">
        <v>92</v>
      </c>
      <c r="C27" s="299" t="s">
        <v>95</v>
      </c>
      <c r="D27" s="105">
        <v>8</v>
      </c>
      <c r="E27" s="285">
        <f>SUM(F27+E107+F107+G107+H107+J107+K107)</f>
        <v>35593830</v>
      </c>
      <c r="F27" s="281">
        <f>SUM(G28,H27,I28,J28,K27,E68,F67,G68,H67,I67,J67,K67)</f>
        <v>30314180</v>
      </c>
      <c r="G27" s="18">
        <v>13507200</v>
      </c>
      <c r="H27" s="285">
        <v>2520000</v>
      </c>
      <c r="I27" s="31">
        <f>TRUNC((G27/12*2),-1)</f>
        <v>2251200</v>
      </c>
      <c r="J27" s="18">
        <f t="shared" si="0"/>
        <v>2251200</v>
      </c>
      <c r="K27" s="285">
        <v>504000</v>
      </c>
    </row>
    <row r="28" spans="1:11" ht="13.5" customHeight="1">
      <c r="A28" s="300"/>
      <c r="B28" s="299"/>
      <c r="C28" s="299"/>
      <c r="D28" s="105" t="s">
        <v>112</v>
      </c>
      <c r="E28" s="285"/>
      <c r="F28" s="281"/>
      <c r="G28" s="18">
        <f>(G27)</f>
        <v>13507200</v>
      </c>
      <c r="H28" s="285"/>
      <c r="I28" s="18">
        <f>SUM(I27:I27)</f>
        <v>2251200</v>
      </c>
      <c r="J28" s="18">
        <f t="shared" si="0"/>
        <v>2251200</v>
      </c>
      <c r="K28" s="285"/>
    </row>
    <row r="29" spans="1:11" ht="13.5" customHeight="1">
      <c r="A29" s="300">
        <v>11</v>
      </c>
      <c r="B29" s="293" t="s">
        <v>92</v>
      </c>
      <c r="C29" s="294" t="s">
        <v>2</v>
      </c>
      <c r="D29" s="105">
        <v>3</v>
      </c>
      <c r="E29" s="285">
        <f>SUM(F29+E109+F109+G109+H109+J109+K109)</f>
        <v>28208770</v>
      </c>
      <c r="F29" s="281">
        <f>SUM(G30,H29,I30,J30,K29,E70,F69,G70,H69,I69,J69,K69)</f>
        <v>24024540</v>
      </c>
      <c r="G29" s="18">
        <v>11806200</v>
      </c>
      <c r="H29" s="285">
        <v>1890000</v>
      </c>
      <c r="I29" s="31">
        <f>TRUNC((G29/12*2),-1)</f>
        <v>1967700</v>
      </c>
      <c r="J29" s="18">
        <f t="shared" si="0"/>
        <v>1967700</v>
      </c>
      <c r="K29" s="285"/>
    </row>
    <row r="30" spans="1:11" ht="13.5" customHeight="1">
      <c r="A30" s="300"/>
      <c r="B30" s="293"/>
      <c r="C30" s="294"/>
      <c r="D30" s="105" t="s">
        <v>112</v>
      </c>
      <c r="E30" s="285"/>
      <c r="F30" s="281"/>
      <c r="G30" s="18">
        <f>(G29:G29)</f>
        <v>11806200</v>
      </c>
      <c r="H30" s="285"/>
      <c r="I30" s="18">
        <f>SUM(I29:I29)</f>
        <v>1967700</v>
      </c>
      <c r="J30" s="18">
        <f>(J29:J29)</f>
        <v>1967700</v>
      </c>
      <c r="K30" s="285"/>
    </row>
    <row r="31" spans="1:11" ht="10.5" customHeight="1">
      <c r="A31" s="289">
        <v>7</v>
      </c>
      <c r="B31" s="303" t="s">
        <v>93</v>
      </c>
      <c r="C31" s="303" t="s">
        <v>133</v>
      </c>
      <c r="D31" s="114">
        <v>15</v>
      </c>
      <c r="E31" s="286">
        <f>SUM(F31+E111+F111+G111+H111+J111+K111)</f>
        <v>41548400</v>
      </c>
      <c r="F31" s="281">
        <f>TRUNC(G33+H31+I33+J33+K31+E73+F71+G73+H71+I71+J71+K71)</f>
        <v>35385490</v>
      </c>
      <c r="G31" s="18">
        <v>4463550</v>
      </c>
      <c r="H31" s="286">
        <v>1890000</v>
      </c>
      <c r="I31" s="31">
        <f>TRUNC((G31/3/2*1),-1)</f>
        <v>743920</v>
      </c>
      <c r="J31" s="18">
        <f>(I31)</f>
        <v>743920</v>
      </c>
      <c r="K31" s="286">
        <v>724500</v>
      </c>
    </row>
    <row r="32" spans="1:11" ht="10.5" customHeight="1">
      <c r="A32" s="295"/>
      <c r="B32" s="304"/>
      <c r="C32" s="304"/>
      <c r="D32" s="114">
        <v>16</v>
      </c>
      <c r="E32" s="287"/>
      <c r="F32" s="281"/>
      <c r="G32" s="18">
        <v>13693050</v>
      </c>
      <c r="H32" s="287"/>
      <c r="I32" s="31">
        <f>TRUNC((G32/9/2*3),-1)</f>
        <v>2282170</v>
      </c>
      <c r="J32" s="18">
        <f>(I32)</f>
        <v>2282170</v>
      </c>
      <c r="K32" s="287"/>
    </row>
    <row r="33" spans="1:11" ht="10.5" customHeight="1">
      <c r="A33" s="290"/>
      <c r="B33" s="305"/>
      <c r="C33" s="305"/>
      <c r="D33" s="114" t="s">
        <v>112</v>
      </c>
      <c r="E33" s="288"/>
      <c r="F33" s="281"/>
      <c r="G33" s="18">
        <f>SUM(G31:G32)</f>
        <v>18156600</v>
      </c>
      <c r="H33" s="288"/>
      <c r="I33" s="18">
        <f>SUM(I31:I32)</f>
        <v>3026090</v>
      </c>
      <c r="J33" s="18">
        <f>SUM(J31:J32)</f>
        <v>3026090</v>
      </c>
      <c r="K33" s="288"/>
    </row>
    <row r="34" spans="1:11" ht="10.5" customHeight="1">
      <c r="A34" s="300">
        <v>12</v>
      </c>
      <c r="B34" s="293" t="s">
        <v>113</v>
      </c>
      <c r="C34" s="294" t="s">
        <v>104</v>
      </c>
      <c r="D34" s="105">
        <v>7</v>
      </c>
      <c r="E34" s="286">
        <f>SUM(F34+E114+F114+G114+H114+J114+K114)</f>
        <v>32087070</v>
      </c>
      <c r="F34" s="281">
        <f>TRUNC(G36+H34+I36+J36+K34+E76+F74+G76+H74+I74+J74+K74)</f>
        <v>27327570</v>
      </c>
      <c r="G34" s="18">
        <v>5915700</v>
      </c>
      <c r="H34" s="285">
        <v>2520000</v>
      </c>
      <c r="I34" s="31">
        <f>TRUNC((G34/6),-1)</f>
        <v>985950</v>
      </c>
      <c r="J34" s="18">
        <f>(I34)</f>
        <v>985950</v>
      </c>
      <c r="K34" s="286">
        <v>504000</v>
      </c>
    </row>
    <row r="35" spans="1:11" ht="10.5" customHeight="1">
      <c r="A35" s="300"/>
      <c r="B35" s="293"/>
      <c r="C35" s="294"/>
      <c r="D35" s="105">
        <v>8</v>
      </c>
      <c r="E35" s="287"/>
      <c r="F35" s="281"/>
      <c r="G35" s="18">
        <v>6092100</v>
      </c>
      <c r="H35" s="285"/>
      <c r="I35" s="31">
        <f>TRUNC((G35/6),-1)</f>
        <v>1015350</v>
      </c>
      <c r="J35" s="18">
        <f>(I35)</f>
        <v>1015350</v>
      </c>
      <c r="K35" s="287"/>
    </row>
    <row r="36" spans="1:11" ht="10.5" customHeight="1">
      <c r="A36" s="300"/>
      <c r="B36" s="293"/>
      <c r="C36" s="294"/>
      <c r="D36" s="105" t="s">
        <v>112</v>
      </c>
      <c r="E36" s="288"/>
      <c r="F36" s="281"/>
      <c r="G36" s="18">
        <f>SUM(G34:G35)</f>
        <v>12007800</v>
      </c>
      <c r="H36" s="285"/>
      <c r="I36" s="18">
        <f>SUM(I34:I35)</f>
        <v>2001300</v>
      </c>
      <c r="J36" s="18">
        <f>(J34+J35)</f>
        <v>2001300</v>
      </c>
      <c r="K36" s="288"/>
    </row>
    <row r="37" spans="1:11" ht="10.5" customHeight="1">
      <c r="A37" s="300">
        <v>13</v>
      </c>
      <c r="B37" s="293" t="s">
        <v>113</v>
      </c>
      <c r="C37" s="294" t="s">
        <v>101</v>
      </c>
      <c r="D37" s="105">
        <v>7</v>
      </c>
      <c r="E37" s="286">
        <f>SUM(F37+E117+F117+G117+H117+J117+K117)</f>
        <v>32382950</v>
      </c>
      <c r="F37" s="281">
        <f>TRUNC(G39+H37+I39+J39+K37+E79+F77+G79+H77+I77+J77+K77)</f>
        <v>27579570</v>
      </c>
      <c r="G37" s="18">
        <v>5915700</v>
      </c>
      <c r="H37" s="285">
        <v>2520000</v>
      </c>
      <c r="I37" s="31">
        <f>TRUNC((G37/6),-1)</f>
        <v>985950</v>
      </c>
      <c r="J37" s="18">
        <f>(I37)</f>
        <v>985950</v>
      </c>
      <c r="K37" s="286">
        <v>504000</v>
      </c>
    </row>
    <row r="38" spans="1:11" ht="10.5" customHeight="1">
      <c r="A38" s="300"/>
      <c r="B38" s="293"/>
      <c r="C38" s="294"/>
      <c r="D38" s="105">
        <v>8</v>
      </c>
      <c r="E38" s="287"/>
      <c r="F38" s="281"/>
      <c r="G38" s="18">
        <v>6092100</v>
      </c>
      <c r="H38" s="285"/>
      <c r="I38" s="31">
        <f>TRUNC((G38/6),-1)</f>
        <v>1015350</v>
      </c>
      <c r="J38" s="18">
        <f>(I38)</f>
        <v>1015350</v>
      </c>
      <c r="K38" s="287"/>
    </row>
    <row r="39" spans="1:11" ht="10.5" customHeight="1">
      <c r="A39" s="300"/>
      <c r="B39" s="293"/>
      <c r="C39" s="294"/>
      <c r="D39" s="105" t="s">
        <v>112</v>
      </c>
      <c r="E39" s="288"/>
      <c r="F39" s="281"/>
      <c r="G39" s="18">
        <f>(G37+G38)</f>
        <v>12007800</v>
      </c>
      <c r="H39" s="285"/>
      <c r="I39" s="18">
        <f>SUM(I37:I38)</f>
        <v>2001300</v>
      </c>
      <c r="J39" s="18">
        <f>(J37+J38)</f>
        <v>2001300</v>
      </c>
      <c r="K39" s="288"/>
    </row>
    <row r="40" spans="1:11" ht="10.5" customHeight="1">
      <c r="A40" s="300">
        <v>14</v>
      </c>
      <c r="B40" s="293" t="s">
        <v>114</v>
      </c>
      <c r="C40" s="294" t="s">
        <v>136</v>
      </c>
      <c r="D40" s="105">
        <v>2</v>
      </c>
      <c r="E40" s="286">
        <f>SUM(F40+E120+F120+G120+H120+J120+K120)</f>
        <v>24001070</v>
      </c>
      <c r="F40" s="281">
        <f>TRUNC(G42+H40+I42+J42+K40+E82+F80+G82+H80+I80+J80+K80)</f>
        <v>20440990</v>
      </c>
      <c r="G40" s="18">
        <v>7550550</v>
      </c>
      <c r="H40" s="285">
        <v>1890000</v>
      </c>
      <c r="I40" s="31">
        <f>TRUNC((G40/9),-1)</f>
        <v>838950</v>
      </c>
      <c r="J40" s="18">
        <f>(I40)</f>
        <v>838950</v>
      </c>
      <c r="K40" s="287"/>
    </row>
    <row r="41" spans="1:11" ht="10.5" customHeight="1">
      <c r="A41" s="300"/>
      <c r="B41" s="293"/>
      <c r="C41" s="294"/>
      <c r="D41" s="105">
        <v>3</v>
      </c>
      <c r="E41" s="287"/>
      <c r="F41" s="281"/>
      <c r="G41" s="18">
        <v>2605050</v>
      </c>
      <c r="H41" s="285"/>
      <c r="I41" s="31">
        <f>TRUNC((G41/3),-1)</f>
        <v>868350</v>
      </c>
      <c r="J41" s="18">
        <f>(I41)</f>
        <v>868350</v>
      </c>
      <c r="K41" s="287"/>
    </row>
    <row r="42" spans="1:11" ht="10.5" customHeight="1">
      <c r="A42" s="300"/>
      <c r="B42" s="293"/>
      <c r="C42" s="294"/>
      <c r="D42" s="105" t="s">
        <v>112</v>
      </c>
      <c r="E42" s="288"/>
      <c r="F42" s="281"/>
      <c r="G42" s="18">
        <f>(G40+G41)</f>
        <v>10155600</v>
      </c>
      <c r="H42" s="285"/>
      <c r="I42" s="18">
        <f>SUM(I40:I41)</f>
        <v>1707300</v>
      </c>
      <c r="J42" s="18">
        <f>(J40+J41)</f>
        <v>1707300</v>
      </c>
      <c r="K42" s="288"/>
    </row>
    <row r="43" spans="1:16" s="19" customFormat="1" ht="51.75" customHeight="1">
      <c r="A43" s="301" t="s">
        <v>115</v>
      </c>
      <c r="B43" s="301"/>
      <c r="C43" s="301"/>
      <c r="D43" s="301"/>
      <c r="E43" s="28">
        <f>SUM(E5:E42)</f>
        <v>457192140</v>
      </c>
      <c r="F43" s="50">
        <f>SUM(F5:F42)</f>
        <v>389376550</v>
      </c>
      <c r="G43" s="50">
        <f>SUM(G7+G10+G13+G15+G18+G20+G23+G26+G28+G30+G33+G36+G39+G42)</f>
        <v>193180050</v>
      </c>
      <c r="H43" s="50">
        <f>SUM(H5:H42)</f>
        <v>29610000</v>
      </c>
      <c r="I43" s="50">
        <f>SUM(I7,,I10,I13,I15,I18,I20,,I23,I26,I28,I30+I33,I36,I39,I42)</f>
        <v>32034630</v>
      </c>
      <c r="J43" s="50">
        <f>SUM(J7,,J10,J13,J15,J18,J20,,J23,J26,J28,J30+J33,J36,J39,J42)</f>
        <v>32034630</v>
      </c>
      <c r="K43" s="50">
        <f>SUM(K5:K42)</f>
        <v>5292000</v>
      </c>
      <c r="M43" s="112"/>
      <c r="P43"/>
    </row>
    <row r="44" spans="1:18" s="4" customFormat="1" ht="19.5" customHeight="1">
      <c r="A44" s="106" t="s">
        <v>84</v>
      </c>
      <c r="B44" s="106" t="s">
        <v>96</v>
      </c>
      <c r="C44" s="107" t="s">
        <v>109</v>
      </c>
      <c r="D44" s="108" t="s">
        <v>85</v>
      </c>
      <c r="E44" s="32" t="s">
        <v>89</v>
      </c>
      <c r="F44" s="32" t="s">
        <v>116</v>
      </c>
      <c r="G44" s="32" t="s">
        <v>90</v>
      </c>
      <c r="H44" s="32" t="s">
        <v>102</v>
      </c>
      <c r="I44" s="32" t="s">
        <v>105</v>
      </c>
      <c r="J44" s="32" t="s">
        <v>106</v>
      </c>
      <c r="K44" s="32" t="s">
        <v>120</v>
      </c>
      <c r="M44" s="113"/>
      <c r="N44"/>
      <c r="O44"/>
      <c r="P44"/>
      <c r="Q44"/>
      <c r="R44"/>
    </row>
    <row r="45" spans="1:18" ht="10.5" customHeight="1">
      <c r="A45" s="292">
        <v>1</v>
      </c>
      <c r="B45" s="293" t="s">
        <v>91</v>
      </c>
      <c r="C45" s="294" t="s">
        <v>130</v>
      </c>
      <c r="D45" s="105">
        <v>7</v>
      </c>
      <c r="E45" s="31">
        <f>TRUNC((G5/3*80%),-1)</f>
        <v>1186080</v>
      </c>
      <c r="F45" s="285">
        <v>630000</v>
      </c>
      <c r="G45" s="31">
        <f>TRUNC((G5/3*1/2),-1)</f>
        <v>741300</v>
      </c>
      <c r="H45" s="285">
        <v>1386000</v>
      </c>
      <c r="I45" s="302">
        <v>0</v>
      </c>
      <c r="J45" s="285">
        <v>0</v>
      </c>
      <c r="K45" s="285"/>
      <c r="N45" s="4"/>
      <c r="O45" s="4"/>
      <c r="Q45" s="4"/>
      <c r="R45" s="4"/>
    </row>
    <row r="46" spans="1:18" ht="10.5" customHeight="1">
      <c r="A46" s="292"/>
      <c r="B46" s="293"/>
      <c r="C46" s="294"/>
      <c r="D46" s="105">
        <v>8</v>
      </c>
      <c r="E46" s="31">
        <f>TRUNC((G6/9*85%),-1)</f>
        <v>1291440</v>
      </c>
      <c r="F46" s="285"/>
      <c r="G46" s="31">
        <f>TRUNC((G6/9*1/2),-1)</f>
        <v>759670</v>
      </c>
      <c r="H46" s="285"/>
      <c r="I46" s="302"/>
      <c r="J46" s="285"/>
      <c r="K46" s="285"/>
      <c r="N46" s="4"/>
      <c r="O46" s="4"/>
      <c r="Q46" s="4"/>
      <c r="R46" s="4"/>
    </row>
    <row r="47" spans="1:16" ht="10.5" customHeight="1">
      <c r="A47" s="292"/>
      <c r="B47" s="293"/>
      <c r="C47" s="294"/>
      <c r="D47" s="105" t="s">
        <v>112</v>
      </c>
      <c r="E47" s="18">
        <f>SUM(E45:E46)</f>
        <v>2477520</v>
      </c>
      <c r="F47" s="285"/>
      <c r="G47" s="18">
        <f>SUM(G45:G46)</f>
        <v>1500970</v>
      </c>
      <c r="H47" s="285"/>
      <c r="I47" s="302"/>
      <c r="J47" s="285"/>
      <c r="K47" s="285"/>
      <c r="P47" s="19"/>
    </row>
    <row r="48" spans="1:11" ht="10.5" customHeight="1">
      <c r="A48" s="289">
        <v>2</v>
      </c>
      <c r="B48" s="293" t="s">
        <v>16</v>
      </c>
      <c r="C48" s="303" t="s">
        <v>60</v>
      </c>
      <c r="D48" s="105">
        <v>11</v>
      </c>
      <c r="E48" s="31">
        <f>TRUNC((G8/6*100%*1),-1)</f>
        <v>1417500</v>
      </c>
      <c r="F48" s="272">
        <v>630000</v>
      </c>
      <c r="G48" s="31">
        <f>TRUNC((G8/6/2),-1)</f>
        <v>708750</v>
      </c>
      <c r="H48" s="272">
        <v>1386000</v>
      </c>
      <c r="I48" s="302">
        <f>TRUNC(((G10+F45+J48)*1/226*1.5)*8,-1)</f>
        <v>948010</v>
      </c>
      <c r="J48" s="278"/>
      <c r="K48" s="278"/>
    </row>
    <row r="49" spans="1:16" ht="10.5" customHeight="1">
      <c r="A49" s="295"/>
      <c r="B49" s="293"/>
      <c r="C49" s="304"/>
      <c r="D49" s="105">
        <v>12</v>
      </c>
      <c r="E49" s="31">
        <f>TRUNC((G9/6*100%*1),-1)</f>
        <v>1453200</v>
      </c>
      <c r="F49" s="273"/>
      <c r="G49" s="31">
        <f>TRUNC((G9/6/2),-1)</f>
        <v>726600</v>
      </c>
      <c r="H49" s="273"/>
      <c r="I49" s="302"/>
      <c r="J49" s="279"/>
      <c r="K49" s="279"/>
      <c r="P49" s="47"/>
    </row>
    <row r="50" spans="1:11" ht="10.5" customHeight="1">
      <c r="A50" s="290"/>
      <c r="B50" s="293"/>
      <c r="C50" s="305"/>
      <c r="D50" s="105" t="s">
        <v>112</v>
      </c>
      <c r="E50" s="18">
        <f>SUM(E48:E49)</f>
        <v>2870700</v>
      </c>
      <c r="F50" s="274"/>
      <c r="G50" s="31">
        <f>TRUNC((G10/12),-1)</f>
        <v>1435350</v>
      </c>
      <c r="H50" s="274"/>
      <c r="I50" s="302"/>
      <c r="J50" s="280"/>
      <c r="K50" s="280"/>
    </row>
    <row r="51" spans="1:11" ht="10.5" customHeight="1">
      <c r="A51" s="289">
        <v>3</v>
      </c>
      <c r="B51" s="296" t="s">
        <v>131</v>
      </c>
      <c r="C51" s="282" t="s">
        <v>132</v>
      </c>
      <c r="D51" s="105">
        <v>6</v>
      </c>
      <c r="E51" s="31">
        <f>TRUNC((G11/10*75%*2),-1)</f>
        <v>1590430</v>
      </c>
      <c r="F51" s="272">
        <v>630000</v>
      </c>
      <c r="G51" s="49">
        <f>TRUNC((G11/10/2*2),-1)</f>
        <v>1060290</v>
      </c>
      <c r="H51" s="272">
        <v>1386000</v>
      </c>
      <c r="I51" s="275">
        <f>TRUNC(((G13+F51+J51)*1/226*1.5)*8,-1)</f>
        <v>859360</v>
      </c>
      <c r="J51" s="278">
        <v>504000</v>
      </c>
      <c r="K51" s="278"/>
    </row>
    <row r="52" spans="1:11" ht="10.5" customHeight="1">
      <c r="A52" s="295"/>
      <c r="B52" s="297"/>
      <c r="C52" s="283"/>
      <c r="D52" s="105">
        <v>7</v>
      </c>
      <c r="E52" s="31"/>
      <c r="F52" s="273"/>
      <c r="G52" s="49">
        <v>0</v>
      </c>
      <c r="H52" s="273"/>
      <c r="I52" s="276"/>
      <c r="J52" s="279"/>
      <c r="K52" s="279"/>
    </row>
    <row r="53" spans="1:11" ht="10.5" customHeight="1">
      <c r="A53" s="290"/>
      <c r="B53" s="298"/>
      <c r="C53" s="284"/>
      <c r="D53" s="105" t="s">
        <v>112</v>
      </c>
      <c r="E53" s="31">
        <f>SUM(E51:E52)</f>
        <v>1590430</v>
      </c>
      <c r="F53" s="274"/>
      <c r="G53" s="48">
        <v>1060290</v>
      </c>
      <c r="H53" s="274"/>
      <c r="I53" s="277"/>
      <c r="J53" s="280"/>
      <c r="K53" s="280"/>
    </row>
    <row r="54" spans="1:11" ht="13.5" customHeight="1">
      <c r="A54" s="289">
        <v>4</v>
      </c>
      <c r="B54" s="296" t="s">
        <v>123</v>
      </c>
      <c r="C54" s="282" t="s">
        <v>17</v>
      </c>
      <c r="D54" s="105">
        <v>16</v>
      </c>
      <c r="E54" s="31">
        <f>TRUNC((G14/12*100%*2),-1)</f>
        <v>2702700</v>
      </c>
      <c r="F54" s="272">
        <v>630000</v>
      </c>
      <c r="G54" s="31">
        <f>TRUNC((G14/12),-1)</f>
        <v>1351350</v>
      </c>
      <c r="H54" s="272">
        <v>1386000</v>
      </c>
      <c r="I54" s="302">
        <f>TRUNC(((G15+F54+J54)*1/226*1.5)*8,-1)</f>
        <v>934630</v>
      </c>
      <c r="J54" s="278">
        <v>756000</v>
      </c>
      <c r="K54" s="278"/>
    </row>
    <row r="55" spans="1:11" ht="13.5" customHeight="1">
      <c r="A55" s="290"/>
      <c r="B55" s="298"/>
      <c r="C55" s="284"/>
      <c r="D55" s="105" t="s">
        <v>112</v>
      </c>
      <c r="E55" s="31">
        <f>TRUNC((G15/12*100%*2),-1)</f>
        <v>2702700</v>
      </c>
      <c r="F55" s="274"/>
      <c r="G55" s="31">
        <f>TRUNC((G15/12),-1)</f>
        <v>1351350</v>
      </c>
      <c r="H55" s="274"/>
      <c r="I55" s="302"/>
      <c r="J55" s="280"/>
      <c r="K55" s="280"/>
    </row>
    <row r="56" spans="1:11" ht="13.5" customHeight="1">
      <c r="A56" s="292">
        <v>5</v>
      </c>
      <c r="B56" s="299" t="s">
        <v>92</v>
      </c>
      <c r="C56" s="299" t="s">
        <v>1</v>
      </c>
      <c r="D56" s="105">
        <v>3</v>
      </c>
      <c r="E56" s="31">
        <f>TRUNC((G16/6*60%),-1)</f>
        <v>590310</v>
      </c>
      <c r="F56" s="285">
        <v>630000</v>
      </c>
      <c r="G56" s="18">
        <f>TRUNC((G16/6*50%),-1)</f>
        <v>491920</v>
      </c>
      <c r="H56" s="285">
        <v>1386000</v>
      </c>
      <c r="I56" s="302">
        <f>TRUNC(((G18+F54+J56)*1/226*1.5)*8,-1)</f>
        <v>709500</v>
      </c>
      <c r="J56" s="302">
        <v>756000</v>
      </c>
      <c r="K56" s="302"/>
    </row>
    <row r="57" spans="1:11" ht="13.5" customHeight="1">
      <c r="A57" s="292"/>
      <c r="B57" s="299"/>
      <c r="C57" s="299"/>
      <c r="D57" s="105">
        <v>4</v>
      </c>
      <c r="E57" s="31">
        <f>TRUNC((G17/6*65%),-1)</f>
        <v>657930</v>
      </c>
      <c r="F57" s="285"/>
      <c r="G57" s="18">
        <f>TRUNC((G17/6*50%),-1)</f>
        <v>506100</v>
      </c>
      <c r="H57" s="285"/>
      <c r="I57" s="302"/>
      <c r="J57" s="302"/>
      <c r="K57" s="302"/>
    </row>
    <row r="58" spans="1:11" ht="13.5" customHeight="1">
      <c r="A58" s="292"/>
      <c r="B58" s="299"/>
      <c r="C58" s="299"/>
      <c r="D58" s="105" t="s">
        <v>112</v>
      </c>
      <c r="E58" s="18">
        <f>SUM(E56:E57)</f>
        <v>1248240</v>
      </c>
      <c r="F58" s="285"/>
      <c r="G58" s="18">
        <f>SUM(G56:G57)</f>
        <v>998020</v>
      </c>
      <c r="H58" s="285"/>
      <c r="I58" s="302"/>
      <c r="J58" s="302"/>
      <c r="K58" s="302"/>
    </row>
    <row r="59" spans="1:11" ht="13.5" customHeight="1">
      <c r="A59" s="300">
        <v>6</v>
      </c>
      <c r="B59" s="293" t="s">
        <v>92</v>
      </c>
      <c r="C59" s="294" t="s">
        <v>124</v>
      </c>
      <c r="D59" s="105">
        <v>7</v>
      </c>
      <c r="E59" s="31">
        <f>TRUNC((G19/12*80%*2),-1)</f>
        <v>1755600</v>
      </c>
      <c r="F59" s="285">
        <v>630000</v>
      </c>
      <c r="G59" s="31">
        <f>TRUNC((G19/12),-1)</f>
        <v>1097250</v>
      </c>
      <c r="H59" s="285">
        <v>1386000</v>
      </c>
      <c r="I59" s="302">
        <f>TRUNC(((G20+F59+J59)*1/226*1.5)*8,-1)</f>
        <v>772720</v>
      </c>
      <c r="J59" s="302">
        <v>756000</v>
      </c>
      <c r="K59" s="302">
        <v>504000</v>
      </c>
    </row>
    <row r="60" spans="1:11" ht="13.5" customHeight="1">
      <c r="A60" s="300"/>
      <c r="B60" s="293"/>
      <c r="C60" s="294"/>
      <c r="D60" s="105" t="s">
        <v>112</v>
      </c>
      <c r="E60" s="18">
        <f>(E59:E59)</f>
        <v>1755600</v>
      </c>
      <c r="F60" s="285"/>
      <c r="G60" s="18">
        <f>SUM(G59:G59)</f>
        <v>1097250</v>
      </c>
      <c r="H60" s="285"/>
      <c r="I60" s="302"/>
      <c r="J60" s="302"/>
      <c r="K60" s="302"/>
    </row>
    <row r="61" spans="1:11" ht="10.5" customHeight="1">
      <c r="A61" s="292">
        <v>8</v>
      </c>
      <c r="B61" s="300" t="s">
        <v>92</v>
      </c>
      <c r="C61" s="299" t="s">
        <v>134</v>
      </c>
      <c r="D61" s="105">
        <v>5</v>
      </c>
      <c r="E61" s="31">
        <f>TRUNC((G21/9*70%*1),-1)</f>
        <v>728380</v>
      </c>
      <c r="F61" s="285">
        <v>630000</v>
      </c>
      <c r="G61" s="31">
        <f>TRUNC((G21/9/2),-1)</f>
        <v>520270</v>
      </c>
      <c r="H61" s="285">
        <v>1386000</v>
      </c>
      <c r="I61" s="302">
        <f>TRUNC(((G23+F61+J61)*1/226*1.5)*8,-1)</f>
        <v>741110</v>
      </c>
      <c r="J61" s="302">
        <v>756000</v>
      </c>
      <c r="K61" s="302"/>
    </row>
    <row r="62" spans="1:11" ht="10.5" customHeight="1">
      <c r="A62" s="292"/>
      <c r="B62" s="300"/>
      <c r="C62" s="299"/>
      <c r="D62" s="105">
        <v>6</v>
      </c>
      <c r="E62" s="31">
        <f>TRUNC((G22/3*75%*1),-1)</f>
        <v>801670</v>
      </c>
      <c r="F62" s="285"/>
      <c r="G62" s="31">
        <f>TRUNC((G22/3/2),-1)</f>
        <v>534450</v>
      </c>
      <c r="H62" s="285"/>
      <c r="I62" s="302"/>
      <c r="J62" s="302"/>
      <c r="K62" s="302"/>
    </row>
    <row r="63" spans="1:11" ht="10.5" customHeight="1">
      <c r="A63" s="292"/>
      <c r="B63" s="300"/>
      <c r="C63" s="299"/>
      <c r="D63" s="105" t="s">
        <v>112</v>
      </c>
      <c r="E63" s="18">
        <f>SUM(E61:E62)</f>
        <v>1530050</v>
      </c>
      <c r="F63" s="285"/>
      <c r="G63" s="18">
        <f>SUM(G61:G62)</f>
        <v>1054720</v>
      </c>
      <c r="H63" s="285"/>
      <c r="I63" s="302"/>
      <c r="J63" s="302"/>
      <c r="K63" s="302"/>
    </row>
    <row r="64" spans="1:11" ht="10.5" customHeight="1">
      <c r="A64" s="300">
        <v>9</v>
      </c>
      <c r="B64" s="293" t="s">
        <v>92</v>
      </c>
      <c r="C64" s="294" t="s">
        <v>135</v>
      </c>
      <c r="D64" s="105">
        <v>1</v>
      </c>
      <c r="E64" s="31">
        <f>TRUNC((G24/9*55%*2),-1)</f>
        <v>1019860</v>
      </c>
      <c r="F64" s="285">
        <v>630000</v>
      </c>
      <c r="G64" s="31">
        <f>TRUNC((G24/9),-1)</f>
        <v>927150</v>
      </c>
      <c r="H64" s="285">
        <v>1386000</v>
      </c>
      <c r="I64" s="302">
        <f>TRUNC(((G26+F64+J64)*1/226*1.5)*8,-1)</f>
        <v>668850</v>
      </c>
      <c r="J64" s="302">
        <v>756000</v>
      </c>
      <c r="K64" s="302"/>
    </row>
    <row r="65" spans="1:11" ht="10.5" customHeight="1">
      <c r="A65" s="300"/>
      <c r="B65" s="293"/>
      <c r="C65" s="294"/>
      <c r="D65" s="105">
        <v>2</v>
      </c>
      <c r="E65" s="31"/>
      <c r="F65" s="285"/>
      <c r="G65" s="31"/>
      <c r="H65" s="285"/>
      <c r="I65" s="302"/>
      <c r="J65" s="302"/>
      <c r="K65" s="302"/>
    </row>
    <row r="66" spans="1:11" ht="10.5" customHeight="1">
      <c r="A66" s="300"/>
      <c r="B66" s="293"/>
      <c r="C66" s="294"/>
      <c r="D66" s="105" t="s">
        <v>112</v>
      </c>
      <c r="E66" s="18">
        <f>(E64)</f>
        <v>1019860</v>
      </c>
      <c r="F66" s="285"/>
      <c r="G66" s="18">
        <f>SUM(G64:G64)</f>
        <v>927150</v>
      </c>
      <c r="H66" s="285"/>
      <c r="I66" s="302"/>
      <c r="J66" s="302"/>
      <c r="K66" s="302"/>
    </row>
    <row r="67" spans="1:11" ht="13.5" customHeight="1">
      <c r="A67" s="300">
        <v>10</v>
      </c>
      <c r="B67" s="299" t="s">
        <v>92</v>
      </c>
      <c r="C67" s="299" t="s">
        <v>95</v>
      </c>
      <c r="D67" s="105">
        <v>8</v>
      </c>
      <c r="E67" s="31">
        <f>TRUNC((G27/12*85%*2),-1)</f>
        <v>1913520</v>
      </c>
      <c r="F67" s="285">
        <v>630000</v>
      </c>
      <c r="G67" s="31">
        <f>TRUNC((G27/12),-1)</f>
        <v>1125600</v>
      </c>
      <c r="H67" s="285">
        <v>1386000</v>
      </c>
      <c r="I67" s="302">
        <f>TRUNC(((G28+F61+J67)*1/226*1.5)*30,-1)</f>
        <v>2965460</v>
      </c>
      <c r="J67" s="302">
        <v>756000</v>
      </c>
      <c r="K67" s="302">
        <v>504000</v>
      </c>
    </row>
    <row r="68" spans="1:11" ht="13.5" customHeight="1">
      <c r="A68" s="300"/>
      <c r="B68" s="299"/>
      <c r="C68" s="299"/>
      <c r="D68" s="105" t="s">
        <v>112</v>
      </c>
      <c r="E68" s="18">
        <f>(E67)</f>
        <v>1913520</v>
      </c>
      <c r="F68" s="285"/>
      <c r="G68" s="18">
        <f>SUM(G67:G67)</f>
        <v>1125600</v>
      </c>
      <c r="H68" s="285"/>
      <c r="I68" s="302"/>
      <c r="J68" s="302"/>
      <c r="K68" s="302"/>
    </row>
    <row r="69" spans="1:11" ht="13.5" customHeight="1">
      <c r="A69" s="300">
        <v>11</v>
      </c>
      <c r="B69" s="293" t="s">
        <v>92</v>
      </c>
      <c r="C69" s="294" t="s">
        <v>2</v>
      </c>
      <c r="D69" s="105">
        <v>3</v>
      </c>
      <c r="E69" s="31">
        <f>TRUNC((G29/12*60%*2),-1)</f>
        <v>1180620</v>
      </c>
      <c r="F69" s="285">
        <v>630000</v>
      </c>
      <c r="G69" s="31">
        <f>TRUNC((G29/12),-1)</f>
        <v>983850</v>
      </c>
      <c r="H69" s="285">
        <v>1386000</v>
      </c>
      <c r="I69" s="302">
        <f>TRUNC(((G30+F69+J69)*1/226*1.5)*8,-1)</f>
        <v>700470</v>
      </c>
      <c r="J69" s="302">
        <v>756000</v>
      </c>
      <c r="K69" s="302">
        <v>756000</v>
      </c>
    </row>
    <row r="70" spans="1:11" ht="13.5" customHeight="1">
      <c r="A70" s="300"/>
      <c r="B70" s="293"/>
      <c r="C70" s="294"/>
      <c r="D70" s="105" t="s">
        <v>112</v>
      </c>
      <c r="E70" s="18">
        <f>(E69:E69)</f>
        <v>1180620</v>
      </c>
      <c r="F70" s="285"/>
      <c r="G70" s="18">
        <f>SUM(G69:G69)</f>
        <v>983850</v>
      </c>
      <c r="H70" s="285"/>
      <c r="I70" s="302"/>
      <c r="J70" s="302"/>
      <c r="K70" s="302"/>
    </row>
    <row r="71" spans="1:11" ht="10.5" customHeight="1">
      <c r="A71" s="292">
        <v>7</v>
      </c>
      <c r="B71" s="294" t="s">
        <v>93</v>
      </c>
      <c r="C71" s="294" t="s">
        <v>133</v>
      </c>
      <c r="D71" s="114">
        <v>15</v>
      </c>
      <c r="E71" s="31">
        <f>TRUNC((G31/3*100%*1),-1)</f>
        <v>1487850</v>
      </c>
      <c r="F71" s="285">
        <v>630000</v>
      </c>
      <c r="G71" s="31">
        <f>TRUNC((G31/3/2),-1)</f>
        <v>743920</v>
      </c>
      <c r="H71" s="285">
        <v>1386000</v>
      </c>
      <c r="I71" s="302">
        <f>TRUNC(((G33+F71+J71)*1/226*1.5)*8,-1)</f>
        <v>1024270</v>
      </c>
      <c r="J71" s="302">
        <v>504000</v>
      </c>
      <c r="K71" s="302">
        <v>504000</v>
      </c>
    </row>
    <row r="72" spans="1:11" ht="10.5" customHeight="1">
      <c r="A72" s="292"/>
      <c r="B72" s="294"/>
      <c r="C72" s="294"/>
      <c r="D72" s="114">
        <v>16</v>
      </c>
      <c r="E72" s="31">
        <f>TRUNC((G32/9*100%*1),-1)</f>
        <v>1521450</v>
      </c>
      <c r="F72" s="285"/>
      <c r="G72" s="31">
        <f>TRUNC((G32/9/2),-1)</f>
        <v>760720</v>
      </c>
      <c r="H72" s="285"/>
      <c r="I72" s="302"/>
      <c r="J72" s="302"/>
      <c r="K72" s="302"/>
    </row>
    <row r="73" spans="1:11" ht="10.5" customHeight="1">
      <c r="A73" s="292"/>
      <c r="B73" s="293"/>
      <c r="C73" s="294"/>
      <c r="D73" s="114" t="s">
        <v>112</v>
      </c>
      <c r="E73" s="18">
        <f>SUM(E71:E72)</f>
        <v>3009300</v>
      </c>
      <c r="F73" s="285"/>
      <c r="G73" s="18">
        <f>SUM(G71:G72)</f>
        <v>1504640</v>
      </c>
      <c r="H73" s="285"/>
      <c r="I73" s="302"/>
      <c r="J73" s="302"/>
      <c r="K73" s="302"/>
    </row>
    <row r="74" spans="1:11" ht="10.5" customHeight="1">
      <c r="A74" s="300">
        <v>12</v>
      </c>
      <c r="B74" s="293" t="s">
        <v>113</v>
      </c>
      <c r="C74" s="294" t="s">
        <v>104</v>
      </c>
      <c r="D74" s="105">
        <v>7</v>
      </c>
      <c r="E74" s="31">
        <f>TRUNC((G34/6*80%),-1)</f>
        <v>788760</v>
      </c>
      <c r="F74" s="285">
        <v>630000</v>
      </c>
      <c r="G74" s="18">
        <f>TRUNC((G34/6*50%),-1)</f>
        <v>492970</v>
      </c>
      <c r="H74" s="285">
        <v>1386000</v>
      </c>
      <c r="I74" s="302">
        <f>TRUNC(((G36+F69+J74)*1/226*1.5)*30,-1)</f>
        <v>2616730</v>
      </c>
      <c r="J74" s="302">
        <v>504000</v>
      </c>
      <c r="K74" s="302">
        <v>504000</v>
      </c>
    </row>
    <row r="75" spans="1:11" ht="10.5" customHeight="1">
      <c r="A75" s="300"/>
      <c r="B75" s="293"/>
      <c r="C75" s="294"/>
      <c r="D75" s="105">
        <v>8</v>
      </c>
      <c r="E75" s="31">
        <f>TRUNC((G35/6*85%),-1)</f>
        <v>863040</v>
      </c>
      <c r="F75" s="285"/>
      <c r="G75" s="18">
        <f>TRUNC((G35/6*50%),-1)</f>
        <v>507670</v>
      </c>
      <c r="H75" s="285"/>
      <c r="I75" s="302"/>
      <c r="J75" s="302"/>
      <c r="K75" s="302"/>
    </row>
    <row r="76" spans="1:11" ht="10.5" customHeight="1">
      <c r="A76" s="300"/>
      <c r="B76" s="293"/>
      <c r="C76" s="294"/>
      <c r="D76" s="105" t="s">
        <v>112</v>
      </c>
      <c r="E76" s="18">
        <f>SUM(E74:E75)</f>
        <v>1651800</v>
      </c>
      <c r="F76" s="285"/>
      <c r="G76" s="18">
        <f>SUM(G74:G75)</f>
        <v>1000640</v>
      </c>
      <c r="H76" s="285"/>
      <c r="I76" s="302"/>
      <c r="J76" s="302"/>
      <c r="K76" s="302"/>
    </row>
    <row r="77" spans="1:11" ht="10.5" customHeight="1">
      <c r="A77" s="300">
        <v>13</v>
      </c>
      <c r="B77" s="293" t="s">
        <v>113</v>
      </c>
      <c r="C77" s="294" t="s">
        <v>101</v>
      </c>
      <c r="D77" s="105">
        <v>7</v>
      </c>
      <c r="E77" s="31">
        <f>TRUNC((G37/6*80%),-1)</f>
        <v>788760</v>
      </c>
      <c r="F77" s="285">
        <v>630000</v>
      </c>
      <c r="G77" s="18">
        <f>TRUNC((G37/6*50%),-1)</f>
        <v>492970</v>
      </c>
      <c r="H77" s="285">
        <v>1386000</v>
      </c>
      <c r="I77" s="302">
        <f>TRUNC(((G39+F74+J77)*1/226*1.5)*30,-1)</f>
        <v>2616730</v>
      </c>
      <c r="J77" s="302">
        <v>504000</v>
      </c>
      <c r="K77" s="302">
        <v>756000</v>
      </c>
    </row>
    <row r="78" spans="1:11" ht="10.5" customHeight="1">
      <c r="A78" s="300"/>
      <c r="B78" s="293"/>
      <c r="C78" s="294"/>
      <c r="D78" s="105">
        <v>8</v>
      </c>
      <c r="E78" s="31">
        <f>TRUNC((G38/6*85%),-1)</f>
        <v>863040</v>
      </c>
      <c r="F78" s="285"/>
      <c r="G78" s="18">
        <f>TRUNC((G38/6*50%),-1)</f>
        <v>507670</v>
      </c>
      <c r="H78" s="285"/>
      <c r="I78" s="302"/>
      <c r="J78" s="302"/>
      <c r="K78" s="302"/>
    </row>
    <row r="79" spans="1:11" ht="10.5" customHeight="1">
      <c r="A79" s="300"/>
      <c r="B79" s="293"/>
      <c r="C79" s="294"/>
      <c r="D79" s="105" t="s">
        <v>112</v>
      </c>
      <c r="E79" s="18">
        <f>SUM(E77:E78)</f>
        <v>1651800</v>
      </c>
      <c r="F79" s="285"/>
      <c r="G79" s="18">
        <f>SUM(G77:G78)</f>
        <v>1000640</v>
      </c>
      <c r="H79" s="285"/>
      <c r="I79" s="302"/>
      <c r="J79" s="302"/>
      <c r="K79" s="302"/>
    </row>
    <row r="80" spans="1:11" ht="10.5" customHeight="1">
      <c r="A80" s="300">
        <v>14</v>
      </c>
      <c r="B80" s="293" t="s">
        <v>114</v>
      </c>
      <c r="C80" s="294" t="s">
        <v>136</v>
      </c>
      <c r="D80" s="105">
        <v>2</v>
      </c>
      <c r="E80" s="31">
        <f>TRUNC((G40/9*55%),-1)</f>
        <v>461420</v>
      </c>
      <c r="F80" s="285">
        <v>630000</v>
      </c>
      <c r="G80" s="18">
        <f>TRUNC((G40/9*50%),-1)</f>
        <v>419470</v>
      </c>
      <c r="H80" s="286">
        <v>1386000</v>
      </c>
      <c r="I80" s="275">
        <f>TRUNC(((G42+F77+J80)*1/226*1.5)*8,-1)</f>
        <v>600720</v>
      </c>
      <c r="J80" s="275">
        <v>528000</v>
      </c>
      <c r="K80" s="275"/>
    </row>
    <row r="81" spans="1:11" ht="10.5" customHeight="1">
      <c r="A81" s="300"/>
      <c r="B81" s="293"/>
      <c r="C81" s="294"/>
      <c r="D81" s="105">
        <v>3</v>
      </c>
      <c r="E81" s="31">
        <f>TRUNC((G41/3*60%),-1)</f>
        <v>521010</v>
      </c>
      <c r="F81" s="285"/>
      <c r="G81" s="18">
        <f>TRUNC((G41/3*50%),-1)</f>
        <v>434170</v>
      </c>
      <c r="H81" s="287"/>
      <c r="I81" s="276"/>
      <c r="J81" s="276"/>
      <c r="K81" s="276"/>
    </row>
    <row r="82" spans="1:11" ht="10.5" customHeight="1">
      <c r="A82" s="300"/>
      <c r="B82" s="293"/>
      <c r="C82" s="294"/>
      <c r="D82" s="105" t="s">
        <v>112</v>
      </c>
      <c r="E82" s="18">
        <f>SUM(E80:E81)</f>
        <v>982430</v>
      </c>
      <c r="F82" s="285"/>
      <c r="G82" s="18">
        <f>SUM(G80:G81)</f>
        <v>853640</v>
      </c>
      <c r="H82" s="288"/>
      <c r="I82" s="277"/>
      <c r="J82" s="277"/>
      <c r="K82" s="277"/>
    </row>
    <row r="83" spans="1:13" s="19" customFormat="1" ht="54" customHeight="1">
      <c r="A83" s="306" t="s">
        <v>117</v>
      </c>
      <c r="B83" s="307"/>
      <c r="C83" s="307"/>
      <c r="D83" s="308"/>
      <c r="E83" s="50">
        <f>SUM(E47,E50,E53,E55,E58,E60,E63,E66,E68,E70,E73,E76,E79,E82)</f>
        <v>25584570</v>
      </c>
      <c r="F83" s="50">
        <f>SUM(F45:F82)</f>
        <v>8820000</v>
      </c>
      <c r="G83" s="50">
        <f>SUM(G47,G50,G53,G55,G58,G60,,G63,G66,G68,G70+G73,G76,G79,G82)</f>
        <v>15894110</v>
      </c>
      <c r="H83" s="50">
        <f>SUM(H45:H82)</f>
        <v>19404000</v>
      </c>
      <c r="I83" s="50">
        <f>SUM(I45:I82)</f>
        <v>16158560</v>
      </c>
      <c r="J83" s="50">
        <f>SUM(J45:J82)</f>
        <v>7836000</v>
      </c>
      <c r="K83" s="50">
        <f>SUM(K45:K82)</f>
        <v>3528000</v>
      </c>
      <c r="M83" s="112"/>
    </row>
    <row r="84" spans="1:19" s="4" customFormat="1" ht="20.25" customHeight="1">
      <c r="A84" s="106" t="s">
        <v>84</v>
      </c>
      <c r="B84" s="106" t="s">
        <v>96</v>
      </c>
      <c r="C84" s="107" t="s">
        <v>109</v>
      </c>
      <c r="D84" s="108" t="s">
        <v>85</v>
      </c>
      <c r="E84" s="34" t="s">
        <v>118</v>
      </c>
      <c r="F84" s="34" t="s">
        <v>119</v>
      </c>
      <c r="G84" s="34" t="s">
        <v>107</v>
      </c>
      <c r="H84" s="34" t="s">
        <v>108</v>
      </c>
      <c r="I84" s="34" t="s">
        <v>125</v>
      </c>
      <c r="J84" s="34" t="s">
        <v>122</v>
      </c>
      <c r="K84" s="35" t="s">
        <v>3</v>
      </c>
      <c r="L84"/>
      <c r="M84" s="109"/>
      <c r="N84"/>
      <c r="O84"/>
      <c r="P84"/>
      <c r="Q84"/>
      <c r="R84"/>
      <c r="S84"/>
    </row>
    <row r="85" spans="1:11" ht="10.5" customHeight="1">
      <c r="A85" s="292">
        <v>1</v>
      </c>
      <c r="B85" s="293" t="s">
        <v>91</v>
      </c>
      <c r="C85" s="294" t="s">
        <v>130</v>
      </c>
      <c r="D85" s="105">
        <v>7</v>
      </c>
      <c r="E85" s="285">
        <f>TRUNC((F5*4.5%),-1)</f>
        <v>1464790</v>
      </c>
      <c r="F85" s="285">
        <f>TRUNC((F5*2.95%),-1)</f>
        <v>960250</v>
      </c>
      <c r="G85" s="285">
        <f>TRUNC((F5*0.7%),-1)</f>
        <v>227850</v>
      </c>
      <c r="H85" s="285">
        <f>TRUNC((F5*0.74%),-1)</f>
        <v>240870</v>
      </c>
      <c r="I85" s="285">
        <f>SUM(E85,F85,G85,H85,)</f>
        <v>2893760</v>
      </c>
      <c r="J85" s="285">
        <f>TRUNC((F5)/12,-1)</f>
        <v>2712590</v>
      </c>
      <c r="K85" s="309">
        <f>TRUNC((F85*6.55%),-1)</f>
        <v>62890</v>
      </c>
    </row>
    <row r="86" spans="1:11" ht="10.5" customHeight="1">
      <c r="A86" s="292"/>
      <c r="B86" s="293"/>
      <c r="C86" s="294"/>
      <c r="D86" s="105">
        <v>8</v>
      </c>
      <c r="E86" s="285"/>
      <c r="F86" s="285"/>
      <c r="G86" s="285"/>
      <c r="H86" s="285"/>
      <c r="I86" s="285"/>
      <c r="J86" s="285"/>
      <c r="K86" s="310"/>
    </row>
    <row r="87" spans="1:11" ht="10.5" customHeight="1">
      <c r="A87" s="292"/>
      <c r="B87" s="293"/>
      <c r="C87" s="294"/>
      <c r="D87" s="105" t="s">
        <v>112</v>
      </c>
      <c r="E87" s="285"/>
      <c r="F87" s="285"/>
      <c r="G87" s="285"/>
      <c r="H87" s="285"/>
      <c r="I87" s="285"/>
      <c r="J87" s="285"/>
      <c r="K87" s="311"/>
    </row>
    <row r="88" spans="1:11" ht="10.5" customHeight="1">
      <c r="A88" s="289">
        <v>2</v>
      </c>
      <c r="B88" s="314" t="s">
        <v>16</v>
      </c>
      <c r="C88" s="303" t="s">
        <v>60</v>
      </c>
      <c r="D88" s="105">
        <v>11</v>
      </c>
      <c r="E88" s="285">
        <f>TRUNC((F8*4.5%),-1)</f>
        <v>1474000</v>
      </c>
      <c r="F88" s="285">
        <f>TRUNC((F8*2.95%),-1)</f>
        <v>966290</v>
      </c>
      <c r="G88" s="285">
        <f>TRUNC((F8*0.7%),-1)</f>
        <v>229280</v>
      </c>
      <c r="H88" s="285">
        <f>TRUNC((F8*0.74%),-1)</f>
        <v>242390</v>
      </c>
      <c r="I88" s="285">
        <f>SUM(E88,F88,G88,H88)</f>
        <v>2911960</v>
      </c>
      <c r="J88" s="285">
        <f>TRUNC((F8)/12,-1)</f>
        <v>2729630</v>
      </c>
      <c r="K88" s="309">
        <f>TRUNC((F88*6.55%),-1)</f>
        <v>63290</v>
      </c>
    </row>
    <row r="89" spans="1:11" ht="10.5" customHeight="1">
      <c r="A89" s="312"/>
      <c r="B89" s="312"/>
      <c r="C89" s="312"/>
      <c r="D89" s="105">
        <v>12</v>
      </c>
      <c r="E89" s="285"/>
      <c r="F89" s="285"/>
      <c r="G89" s="285"/>
      <c r="H89" s="285"/>
      <c r="I89" s="285"/>
      <c r="J89" s="285"/>
      <c r="K89" s="310"/>
    </row>
    <row r="90" spans="1:11" ht="10.5" customHeight="1">
      <c r="A90" s="313"/>
      <c r="B90" s="313"/>
      <c r="C90" s="313"/>
      <c r="D90" s="105" t="s">
        <v>112</v>
      </c>
      <c r="E90" s="285"/>
      <c r="F90" s="285"/>
      <c r="G90" s="285"/>
      <c r="H90" s="285"/>
      <c r="I90" s="285"/>
      <c r="J90" s="285"/>
      <c r="K90" s="311"/>
    </row>
    <row r="91" spans="1:11" ht="10.5" customHeight="1">
      <c r="A91" s="292">
        <v>3</v>
      </c>
      <c r="B91" s="300" t="s">
        <v>131</v>
      </c>
      <c r="C91" s="299" t="s">
        <v>132</v>
      </c>
      <c r="D91" s="105">
        <v>6</v>
      </c>
      <c r="E91" s="281">
        <f>TRUNC((F11*4.5%),-1)</f>
        <v>1266220</v>
      </c>
      <c r="F91" s="285">
        <f>TRUNC((F11*2.95%),-1)</f>
        <v>830070</v>
      </c>
      <c r="G91" s="285">
        <f>TRUNC((F11*0.7%),-1)</f>
        <v>196960</v>
      </c>
      <c r="H91" s="285">
        <f>TRUNC((F11*0.74%),-1)</f>
        <v>208220</v>
      </c>
      <c r="I91" s="285">
        <f>SUM(E91,F91,G91,H91,)</f>
        <v>2501470</v>
      </c>
      <c r="J91" s="285">
        <f>TRUNC((F11)/12,-1)</f>
        <v>2344850</v>
      </c>
      <c r="K91" s="309">
        <f>TRUNC((F91*6.55%),-1)</f>
        <v>54360</v>
      </c>
    </row>
    <row r="92" spans="1:11" ht="10.5" customHeight="1">
      <c r="A92" s="292"/>
      <c r="B92" s="300"/>
      <c r="C92" s="299"/>
      <c r="D92" s="105">
        <v>7</v>
      </c>
      <c r="E92" s="281"/>
      <c r="F92" s="285"/>
      <c r="G92" s="285"/>
      <c r="H92" s="285"/>
      <c r="I92" s="285"/>
      <c r="J92" s="285"/>
      <c r="K92" s="310"/>
    </row>
    <row r="93" spans="1:11" ht="10.5" customHeight="1">
      <c r="A93" s="292"/>
      <c r="B93" s="300"/>
      <c r="C93" s="299"/>
      <c r="D93" s="105" t="s">
        <v>112</v>
      </c>
      <c r="E93" s="281"/>
      <c r="F93" s="285"/>
      <c r="G93" s="285"/>
      <c r="H93" s="285"/>
      <c r="I93" s="285"/>
      <c r="J93" s="285"/>
      <c r="K93" s="311"/>
    </row>
    <row r="94" spans="1:11" ht="13.5" customHeight="1">
      <c r="A94" s="289">
        <v>4</v>
      </c>
      <c r="B94" s="296" t="s">
        <v>123</v>
      </c>
      <c r="C94" s="282" t="s">
        <v>17</v>
      </c>
      <c r="D94" s="105">
        <v>16</v>
      </c>
      <c r="E94" s="281">
        <f>TRUNC((F14*4.5%),-1)</f>
        <v>1469620</v>
      </c>
      <c r="F94" s="285">
        <f>TRUNC((F14*2.95%),-1)</f>
        <v>963410</v>
      </c>
      <c r="G94" s="285">
        <f>TRUNC((F14*0.7%),-1)</f>
        <v>228600</v>
      </c>
      <c r="H94" s="285">
        <f>TRUNC((F14*0.74%),-1)</f>
        <v>241670</v>
      </c>
      <c r="I94" s="285">
        <f>SUM(E94,F94,G94,H94,)</f>
        <v>2903300</v>
      </c>
      <c r="J94" s="285">
        <f>TRUNC((F14)/12,-1)</f>
        <v>2721520</v>
      </c>
      <c r="K94" s="309">
        <f>TRUNC((F94*6.55%),-1)</f>
        <v>63100</v>
      </c>
    </row>
    <row r="95" spans="1:11" ht="13.5" customHeight="1">
      <c r="A95" s="290"/>
      <c r="B95" s="298"/>
      <c r="C95" s="284"/>
      <c r="D95" s="105" t="s">
        <v>112</v>
      </c>
      <c r="E95" s="281"/>
      <c r="F95" s="285"/>
      <c r="G95" s="285"/>
      <c r="H95" s="285"/>
      <c r="I95" s="285"/>
      <c r="J95" s="285"/>
      <c r="K95" s="311"/>
    </row>
    <row r="96" spans="1:11" ht="10.5" customHeight="1">
      <c r="A96" s="292">
        <v>5</v>
      </c>
      <c r="B96" s="299" t="s">
        <v>92</v>
      </c>
      <c r="C96" s="299" t="s">
        <v>1</v>
      </c>
      <c r="D96" s="105">
        <v>3</v>
      </c>
      <c r="E96" s="285">
        <f>TRUNC((F16*4.5%),-1)</f>
        <v>1061370</v>
      </c>
      <c r="F96" s="286">
        <f>TRUNC((F16*2.95%),-1)</f>
        <v>695790</v>
      </c>
      <c r="G96" s="285">
        <f>TRUNC((F16*0.7%),-1)</f>
        <v>165100</v>
      </c>
      <c r="H96" s="285">
        <f>TRUNC((F16*0.74%),-1)</f>
        <v>174530</v>
      </c>
      <c r="I96" s="285">
        <f>SUM(E96,F96,G96,H96)</f>
        <v>2096790</v>
      </c>
      <c r="J96" s="285">
        <f>TRUNC((F16)/12,-1)</f>
        <v>1965510</v>
      </c>
      <c r="K96" s="309">
        <f>TRUNC((F96*6.55%),-1)</f>
        <v>45570</v>
      </c>
    </row>
    <row r="97" spans="1:11" ht="10.5" customHeight="1">
      <c r="A97" s="292"/>
      <c r="B97" s="299"/>
      <c r="C97" s="299"/>
      <c r="D97" s="105">
        <v>4</v>
      </c>
      <c r="E97" s="285"/>
      <c r="F97" s="287"/>
      <c r="G97" s="285"/>
      <c r="H97" s="285"/>
      <c r="I97" s="285"/>
      <c r="J97" s="285"/>
      <c r="K97" s="310"/>
    </row>
    <row r="98" spans="1:11" ht="10.5" customHeight="1">
      <c r="A98" s="292"/>
      <c r="B98" s="299"/>
      <c r="C98" s="299"/>
      <c r="D98" s="105" t="s">
        <v>112</v>
      </c>
      <c r="E98" s="285"/>
      <c r="F98" s="288"/>
      <c r="G98" s="285"/>
      <c r="H98" s="285"/>
      <c r="I98" s="285"/>
      <c r="J98" s="285"/>
      <c r="K98" s="311"/>
    </row>
    <row r="99" spans="1:11" ht="13.5" customHeight="1">
      <c r="A99" s="300">
        <v>6</v>
      </c>
      <c r="B99" s="293" t="s">
        <v>92</v>
      </c>
      <c r="C99" s="294" t="s">
        <v>124</v>
      </c>
      <c r="D99" s="105">
        <v>7</v>
      </c>
      <c r="E99" s="285">
        <f>TRUNC((F19*4.5%),-1)</f>
        <v>1236670</v>
      </c>
      <c r="F99" s="285">
        <f>TRUNC((F19*2.95%),-1)</f>
        <v>810700</v>
      </c>
      <c r="G99" s="285">
        <f>TRUNC((F19*0.7%),-1)</f>
        <v>192370</v>
      </c>
      <c r="H99" s="285">
        <f>TRUNC((F19*0.74%),-1)</f>
        <v>203360</v>
      </c>
      <c r="I99" s="285">
        <f>SUM(E99,F99,G99,H99,)</f>
        <v>2443100</v>
      </c>
      <c r="J99" s="285">
        <f>TRUNC((F19)/12,-1)</f>
        <v>2290130</v>
      </c>
      <c r="K99" s="309">
        <f>TRUNC((F99*6.55%),-1)</f>
        <v>53100</v>
      </c>
    </row>
    <row r="100" spans="1:11" ht="13.5" customHeight="1">
      <c r="A100" s="300"/>
      <c r="B100" s="293"/>
      <c r="C100" s="294"/>
      <c r="D100" s="105" t="s">
        <v>112</v>
      </c>
      <c r="E100" s="285"/>
      <c r="F100" s="285"/>
      <c r="G100" s="285"/>
      <c r="H100" s="285"/>
      <c r="I100" s="285"/>
      <c r="J100" s="285"/>
      <c r="K100" s="311"/>
    </row>
    <row r="101" spans="1:11" ht="10.5" customHeight="1">
      <c r="A101" s="292">
        <v>8</v>
      </c>
      <c r="B101" s="300" t="s">
        <v>92</v>
      </c>
      <c r="C101" s="299" t="s">
        <v>134</v>
      </c>
      <c r="D101" s="105">
        <v>5</v>
      </c>
      <c r="E101" s="285">
        <f>TRUNC((F21*4.5%),-1)</f>
        <v>1120840</v>
      </c>
      <c r="F101" s="285">
        <f>TRUNC((F21*2.95%),-1)</f>
        <v>734770</v>
      </c>
      <c r="G101" s="285">
        <f>TRUNC((F21*0.7%),-1)</f>
        <v>174350</v>
      </c>
      <c r="H101" s="285">
        <f>TRUNC((F21*0.74%),-1)</f>
        <v>184310</v>
      </c>
      <c r="I101" s="285">
        <f>SUM(E101,F101,G101,H101,)</f>
        <v>2214270</v>
      </c>
      <c r="J101" s="285">
        <f>TRUNC((F21)/12,-1)</f>
        <v>2075630</v>
      </c>
      <c r="K101" s="309">
        <f>TRUNC((F101*6.55%),-1)</f>
        <v>48120</v>
      </c>
    </row>
    <row r="102" spans="1:11" ht="10.5" customHeight="1">
      <c r="A102" s="292"/>
      <c r="B102" s="300"/>
      <c r="C102" s="299"/>
      <c r="D102" s="105">
        <v>6</v>
      </c>
      <c r="E102" s="285"/>
      <c r="F102" s="285"/>
      <c r="G102" s="285"/>
      <c r="H102" s="285"/>
      <c r="I102" s="285"/>
      <c r="J102" s="285"/>
      <c r="K102" s="310"/>
    </row>
    <row r="103" spans="1:11" ht="10.5" customHeight="1">
      <c r="A103" s="292"/>
      <c r="B103" s="300"/>
      <c r="C103" s="299"/>
      <c r="D103" s="105" t="s">
        <v>112</v>
      </c>
      <c r="E103" s="285"/>
      <c r="F103" s="285"/>
      <c r="G103" s="285"/>
      <c r="H103" s="285"/>
      <c r="I103" s="285"/>
      <c r="J103" s="285"/>
      <c r="K103" s="311"/>
    </row>
    <row r="104" spans="1:11" ht="10.5" customHeight="1">
      <c r="A104" s="300">
        <v>9</v>
      </c>
      <c r="B104" s="293" t="s">
        <v>92</v>
      </c>
      <c r="C104" s="294" t="s">
        <v>135</v>
      </c>
      <c r="D104" s="105">
        <v>1</v>
      </c>
      <c r="E104" s="285">
        <f>TRUNC((F24*4.5%),-1)</f>
        <v>1000150</v>
      </c>
      <c r="F104" s="285">
        <f>TRUNC((F24*2.95%),-1)</f>
        <v>655650</v>
      </c>
      <c r="G104" s="285">
        <f>TRUNC((F24*0.7%),-1)</f>
        <v>155570</v>
      </c>
      <c r="H104" s="285">
        <f>TRUNC((F24*0.74%),-1)</f>
        <v>164460</v>
      </c>
      <c r="I104" s="285">
        <f>SUM(E104,F104,G104,H104,)</f>
        <v>1975830</v>
      </c>
      <c r="J104" s="285">
        <f>TRUNC((F24)/12,-1)</f>
        <v>1852130</v>
      </c>
      <c r="K104" s="309">
        <f>TRUNC((F104*6.55%),-1)</f>
        <v>42940</v>
      </c>
    </row>
    <row r="105" spans="1:11" ht="10.5" customHeight="1">
      <c r="A105" s="300"/>
      <c r="B105" s="293"/>
      <c r="C105" s="294"/>
      <c r="D105" s="105">
        <v>2</v>
      </c>
      <c r="E105" s="285"/>
      <c r="F105" s="285"/>
      <c r="G105" s="285"/>
      <c r="H105" s="285"/>
      <c r="I105" s="285"/>
      <c r="J105" s="285"/>
      <c r="K105" s="310"/>
    </row>
    <row r="106" spans="1:11" ht="10.5" customHeight="1">
      <c r="A106" s="300"/>
      <c r="B106" s="293"/>
      <c r="C106" s="294"/>
      <c r="D106" s="105" t="s">
        <v>112</v>
      </c>
      <c r="E106" s="285"/>
      <c r="F106" s="285"/>
      <c r="G106" s="285"/>
      <c r="H106" s="285"/>
      <c r="I106" s="285"/>
      <c r="J106" s="285"/>
      <c r="K106" s="311"/>
    </row>
    <row r="107" spans="1:11" ht="13.5" customHeight="1">
      <c r="A107" s="300">
        <v>10</v>
      </c>
      <c r="B107" s="299" t="s">
        <v>92</v>
      </c>
      <c r="C107" s="299" t="s">
        <v>95</v>
      </c>
      <c r="D107" s="105">
        <v>8</v>
      </c>
      <c r="E107" s="285">
        <f>TRUNC((F27*4.5%),-1)</f>
        <v>1364130</v>
      </c>
      <c r="F107" s="285">
        <f>TRUNC((F27*2.95%),-1)</f>
        <v>894260</v>
      </c>
      <c r="G107" s="285">
        <f>TRUNC((F27*0.7%),-1)</f>
        <v>212190</v>
      </c>
      <c r="H107" s="285">
        <f>TRUNC((F27*0.74%),-1)</f>
        <v>224320</v>
      </c>
      <c r="I107" s="285">
        <f>SUM(E107,F107,G107,H107,)</f>
        <v>2694900</v>
      </c>
      <c r="J107" s="285">
        <f>TRUNC((F27)/12,-1)</f>
        <v>2526180</v>
      </c>
      <c r="K107" s="309">
        <f>TRUNC((F107*6.55%),-1)</f>
        <v>58570</v>
      </c>
    </row>
    <row r="108" spans="1:11" ht="13.5" customHeight="1">
      <c r="A108" s="300"/>
      <c r="B108" s="299"/>
      <c r="C108" s="299"/>
      <c r="D108" s="105" t="s">
        <v>112</v>
      </c>
      <c r="E108" s="285"/>
      <c r="F108" s="285"/>
      <c r="G108" s="285"/>
      <c r="H108" s="285"/>
      <c r="I108" s="285"/>
      <c r="J108" s="285"/>
      <c r="K108" s="311"/>
    </row>
    <row r="109" spans="1:11" ht="13.5" customHeight="1">
      <c r="A109" s="300">
        <v>11</v>
      </c>
      <c r="B109" s="293" t="s">
        <v>92</v>
      </c>
      <c r="C109" s="294" t="s">
        <v>2</v>
      </c>
      <c r="D109" s="105">
        <v>3</v>
      </c>
      <c r="E109" s="285">
        <f>TRUNC((F29*4.5%),-1)</f>
        <v>1081100</v>
      </c>
      <c r="F109" s="285">
        <f>TRUNC((F29*2.95%),-1)</f>
        <v>708720</v>
      </c>
      <c r="G109" s="285">
        <f>TRUNC((F29*0.7%),-1)</f>
        <v>168170</v>
      </c>
      <c r="H109" s="285">
        <f>TRUNC((F29*0.74%),-1)</f>
        <v>177780</v>
      </c>
      <c r="I109" s="285">
        <f>SUM(E109,F109,G109,H109,)</f>
        <v>2135770</v>
      </c>
      <c r="J109" s="285">
        <f>TRUNC((F29)/12,-1)</f>
        <v>2002040</v>
      </c>
      <c r="K109" s="309">
        <f>TRUNC((F109*6.55%),-1)</f>
        <v>46420</v>
      </c>
    </row>
    <row r="110" spans="1:11" ht="11.25" customHeight="1">
      <c r="A110" s="300"/>
      <c r="B110" s="293"/>
      <c r="C110" s="294"/>
      <c r="D110" s="105" t="s">
        <v>112</v>
      </c>
      <c r="E110" s="285"/>
      <c r="F110" s="285"/>
      <c r="G110" s="285"/>
      <c r="H110" s="285"/>
      <c r="I110" s="285"/>
      <c r="J110" s="285"/>
      <c r="K110" s="311"/>
    </row>
    <row r="111" spans="1:11" ht="10.5" customHeight="1">
      <c r="A111" s="292">
        <v>7</v>
      </c>
      <c r="B111" s="293" t="s">
        <v>93</v>
      </c>
      <c r="C111" s="294" t="s">
        <v>133</v>
      </c>
      <c r="D111" s="114">
        <v>15</v>
      </c>
      <c r="E111" s="285">
        <f>TRUNC((F31*4.5%),-1)</f>
        <v>1592340</v>
      </c>
      <c r="F111" s="286">
        <f>TRUNC((F31*2.95%),-1)</f>
        <v>1043870</v>
      </c>
      <c r="G111" s="285">
        <f>TRUNC((F31*0.7%),-1)</f>
        <v>247690</v>
      </c>
      <c r="H111" s="285">
        <f>TRUNC((F31*0.74%),-1)</f>
        <v>261850</v>
      </c>
      <c r="I111" s="285">
        <f>SUM(E111,F111,G111,H111,)</f>
        <v>3145750</v>
      </c>
      <c r="J111" s="285">
        <f>TRUNC((F31)/12,-1)</f>
        <v>2948790</v>
      </c>
      <c r="K111" s="309">
        <f>TRUNC((F111*6.55%),-1)</f>
        <v>68370</v>
      </c>
    </row>
    <row r="112" spans="1:11" ht="10.5" customHeight="1">
      <c r="A112" s="292"/>
      <c r="B112" s="293"/>
      <c r="C112" s="294"/>
      <c r="D112" s="114">
        <v>16</v>
      </c>
      <c r="E112" s="285"/>
      <c r="F112" s="287"/>
      <c r="G112" s="285"/>
      <c r="H112" s="285"/>
      <c r="I112" s="285"/>
      <c r="J112" s="285"/>
      <c r="K112" s="310"/>
    </row>
    <row r="113" spans="1:11" ht="10.5" customHeight="1">
      <c r="A113" s="292"/>
      <c r="B113" s="293"/>
      <c r="C113" s="294"/>
      <c r="D113" s="114" t="s">
        <v>112</v>
      </c>
      <c r="E113" s="285"/>
      <c r="F113" s="288"/>
      <c r="G113" s="285"/>
      <c r="H113" s="285"/>
      <c r="I113" s="285"/>
      <c r="J113" s="285"/>
      <c r="K113" s="311"/>
    </row>
    <row r="114" spans="1:11" ht="10.5" customHeight="1">
      <c r="A114" s="300">
        <v>12</v>
      </c>
      <c r="B114" s="293" t="s">
        <v>113</v>
      </c>
      <c r="C114" s="294" t="s">
        <v>104</v>
      </c>
      <c r="D114" s="105">
        <v>7</v>
      </c>
      <c r="E114" s="285">
        <f>TRUNC((F34*4.5%),-1)</f>
        <v>1229740</v>
      </c>
      <c r="F114" s="286">
        <f>TRUNC((F34*2.95%),-1)</f>
        <v>806160</v>
      </c>
      <c r="G114" s="285">
        <f>TRUNC((F34*0.7%),-1)</f>
        <v>191290</v>
      </c>
      <c r="H114" s="285">
        <f>TRUNC((F34*0.74%),-1)</f>
        <v>202220</v>
      </c>
      <c r="I114" s="285">
        <f>SUM(E114,F114,G114,H114)</f>
        <v>2429410</v>
      </c>
      <c r="J114" s="285">
        <f>TRUNC((F34)/12,-1)</f>
        <v>2277290</v>
      </c>
      <c r="K114" s="309">
        <f>TRUNC((F114*6.55%),-1)</f>
        <v>52800</v>
      </c>
    </row>
    <row r="115" spans="1:11" ht="10.5" customHeight="1">
      <c r="A115" s="300"/>
      <c r="B115" s="293"/>
      <c r="C115" s="294"/>
      <c r="D115" s="105">
        <v>8</v>
      </c>
      <c r="E115" s="285"/>
      <c r="F115" s="287"/>
      <c r="G115" s="285"/>
      <c r="H115" s="285"/>
      <c r="I115" s="285"/>
      <c r="J115" s="285"/>
      <c r="K115" s="310"/>
    </row>
    <row r="116" spans="1:11" ht="10.5" customHeight="1">
      <c r="A116" s="300"/>
      <c r="B116" s="293"/>
      <c r="C116" s="294"/>
      <c r="D116" s="105" t="s">
        <v>112</v>
      </c>
      <c r="E116" s="285"/>
      <c r="F116" s="288"/>
      <c r="G116" s="285"/>
      <c r="H116" s="285"/>
      <c r="I116" s="285"/>
      <c r="J116" s="285"/>
      <c r="K116" s="311"/>
    </row>
    <row r="117" spans="1:11" ht="10.5" customHeight="1">
      <c r="A117" s="296">
        <v>13</v>
      </c>
      <c r="B117" s="314" t="s">
        <v>113</v>
      </c>
      <c r="C117" s="303" t="s">
        <v>101</v>
      </c>
      <c r="D117" s="105">
        <v>7</v>
      </c>
      <c r="E117" s="285">
        <f>TRUNC((F37*4.5%),-1)</f>
        <v>1241080</v>
      </c>
      <c r="F117" s="286">
        <f>TRUNC((F37*2.95%),-1)</f>
        <v>813590</v>
      </c>
      <c r="G117" s="286">
        <f>TRUNC((F37*0.7%),-1)</f>
        <v>193050</v>
      </c>
      <c r="H117" s="286">
        <f>TRUNC((F37*0.74%),-1)</f>
        <v>204080</v>
      </c>
      <c r="I117" s="285">
        <f>SUM(E117,F117,G117,H117)</f>
        <v>2451800</v>
      </c>
      <c r="J117" s="285">
        <f>TRUNC((F37)/12,-1)</f>
        <v>2298290</v>
      </c>
      <c r="K117" s="309">
        <f>TRUNC((F117*6.55%),-1)</f>
        <v>53290</v>
      </c>
    </row>
    <row r="118" spans="1:11" ht="10.5" customHeight="1">
      <c r="A118" s="297"/>
      <c r="B118" s="315"/>
      <c r="C118" s="304"/>
      <c r="D118" s="105">
        <v>8</v>
      </c>
      <c r="E118" s="285"/>
      <c r="F118" s="287"/>
      <c r="G118" s="287"/>
      <c r="H118" s="287"/>
      <c r="I118" s="285"/>
      <c r="J118" s="285"/>
      <c r="K118" s="310"/>
    </row>
    <row r="119" spans="1:11" ht="10.5" customHeight="1">
      <c r="A119" s="298"/>
      <c r="B119" s="316"/>
      <c r="C119" s="305"/>
      <c r="D119" s="105" t="s">
        <v>112</v>
      </c>
      <c r="E119" s="285"/>
      <c r="F119" s="288"/>
      <c r="G119" s="288"/>
      <c r="H119" s="288"/>
      <c r="I119" s="285"/>
      <c r="J119" s="285"/>
      <c r="K119" s="311"/>
    </row>
    <row r="120" spans="1:11" ht="10.5" customHeight="1">
      <c r="A120" s="296">
        <v>14</v>
      </c>
      <c r="B120" s="314" t="s">
        <v>114</v>
      </c>
      <c r="C120" s="303" t="s">
        <v>136</v>
      </c>
      <c r="D120" s="105">
        <v>2</v>
      </c>
      <c r="E120" s="285">
        <f>TRUNC((F40*4.5%),-1)</f>
        <v>919840</v>
      </c>
      <c r="F120" s="286">
        <f>TRUNC((F40*2.95%),-1)</f>
        <v>603000</v>
      </c>
      <c r="G120" s="286">
        <f>TRUNC((F40*0.7%),-1)</f>
        <v>143080</v>
      </c>
      <c r="H120" s="286">
        <f>TRUNC((F40*0.74%),-1)</f>
        <v>151260</v>
      </c>
      <c r="I120" s="285">
        <f>SUM(E120,F120,G120,H120)</f>
        <v>1817180</v>
      </c>
      <c r="J120" s="285">
        <f>TRUNC((F40)/12,-1)</f>
        <v>1703410</v>
      </c>
      <c r="K120" s="309">
        <f>TRUNC((F120*6.55%),-1)</f>
        <v>39490</v>
      </c>
    </row>
    <row r="121" spans="1:11" ht="10.5" customHeight="1">
      <c r="A121" s="297"/>
      <c r="B121" s="315"/>
      <c r="C121" s="304"/>
      <c r="D121" s="105">
        <v>3</v>
      </c>
      <c r="E121" s="285"/>
      <c r="F121" s="287"/>
      <c r="G121" s="287"/>
      <c r="H121" s="287"/>
      <c r="I121" s="285"/>
      <c r="J121" s="285"/>
      <c r="K121" s="310"/>
    </row>
    <row r="122" spans="1:11" ht="10.5" customHeight="1">
      <c r="A122" s="298"/>
      <c r="B122" s="316"/>
      <c r="C122" s="305"/>
      <c r="D122" s="105" t="s">
        <v>112</v>
      </c>
      <c r="E122" s="285"/>
      <c r="F122" s="288"/>
      <c r="G122" s="288"/>
      <c r="H122" s="288"/>
      <c r="I122" s="285"/>
      <c r="J122" s="285"/>
      <c r="K122" s="311"/>
    </row>
    <row r="123" spans="1:13" s="19" customFormat="1" ht="51" customHeight="1">
      <c r="A123" s="317" t="s">
        <v>117</v>
      </c>
      <c r="B123" s="318"/>
      <c r="C123" s="318"/>
      <c r="D123" s="319"/>
      <c r="E123" s="50">
        <f aca="true" t="shared" si="1" ref="E123:K123">SUM(E85:E122)</f>
        <v>17521890</v>
      </c>
      <c r="F123" s="50">
        <f t="shared" si="1"/>
        <v>11486530</v>
      </c>
      <c r="G123" s="50">
        <f t="shared" si="1"/>
        <v>2725550</v>
      </c>
      <c r="H123" s="50">
        <f t="shared" si="1"/>
        <v>2881320</v>
      </c>
      <c r="I123" s="50">
        <f t="shared" si="1"/>
        <v>34615290</v>
      </c>
      <c r="J123" s="50">
        <f t="shared" si="1"/>
        <v>32447990</v>
      </c>
      <c r="K123" s="50">
        <f t="shared" si="1"/>
        <v>752310</v>
      </c>
      <c r="M123" s="112"/>
    </row>
    <row r="124" ht="13.5">
      <c r="K124" s="6"/>
    </row>
    <row r="125" ht="13.5">
      <c r="K125" s="6"/>
    </row>
  </sheetData>
  <sheetProtection/>
  <mergeCells count="354">
    <mergeCell ref="J71:J73"/>
    <mergeCell ref="K71:K73"/>
    <mergeCell ref="A31:A33"/>
    <mergeCell ref="B31:B33"/>
    <mergeCell ref="C31:C33"/>
    <mergeCell ref="E31:E33"/>
    <mergeCell ref="F31:F33"/>
    <mergeCell ref="H31:H33"/>
    <mergeCell ref="K31:K33"/>
    <mergeCell ref="J67:J68"/>
    <mergeCell ref="H111:H113"/>
    <mergeCell ref="I111:I113"/>
    <mergeCell ref="J111:J113"/>
    <mergeCell ref="K111:K113"/>
    <mergeCell ref="A71:A73"/>
    <mergeCell ref="B71:B73"/>
    <mergeCell ref="C71:C73"/>
    <mergeCell ref="F71:F73"/>
    <mergeCell ref="H71:H73"/>
    <mergeCell ref="I71:I73"/>
    <mergeCell ref="A111:A113"/>
    <mergeCell ref="B111:B113"/>
    <mergeCell ref="C111:C113"/>
    <mergeCell ref="E111:E113"/>
    <mergeCell ref="F111:F113"/>
    <mergeCell ref="G111:G113"/>
    <mergeCell ref="J117:J119"/>
    <mergeCell ref="A11:A13"/>
    <mergeCell ref="B11:B13"/>
    <mergeCell ref="A51:A53"/>
    <mergeCell ref="B51:B53"/>
    <mergeCell ref="I120:I122"/>
    <mergeCell ref="J120:J122"/>
    <mergeCell ref="I114:I116"/>
    <mergeCell ref="J114:J116"/>
    <mergeCell ref="I109:I110"/>
    <mergeCell ref="H120:H122"/>
    <mergeCell ref="K120:K122"/>
    <mergeCell ref="A123:D123"/>
    <mergeCell ref="C11:C13"/>
    <mergeCell ref="E11:E13"/>
    <mergeCell ref="F11:F13"/>
    <mergeCell ref="H11:H13"/>
    <mergeCell ref="K11:K13"/>
    <mergeCell ref="C51:C53"/>
    <mergeCell ref="I117:I119"/>
    <mergeCell ref="A120:A122"/>
    <mergeCell ref="B120:B122"/>
    <mergeCell ref="C120:C122"/>
    <mergeCell ref="E120:E122"/>
    <mergeCell ref="F120:F122"/>
    <mergeCell ref="G120:G122"/>
    <mergeCell ref="H114:H116"/>
    <mergeCell ref="K114:K116"/>
    <mergeCell ref="A117:A119"/>
    <mergeCell ref="B117:B119"/>
    <mergeCell ref="C117:C119"/>
    <mergeCell ref="E117:E119"/>
    <mergeCell ref="F117:F119"/>
    <mergeCell ref="G117:G119"/>
    <mergeCell ref="H117:H119"/>
    <mergeCell ref="K117:K119"/>
    <mergeCell ref="A114:A116"/>
    <mergeCell ref="B114:B116"/>
    <mergeCell ref="C114:C116"/>
    <mergeCell ref="E114:E116"/>
    <mergeCell ref="F114:F116"/>
    <mergeCell ref="G114:G116"/>
    <mergeCell ref="K107:K108"/>
    <mergeCell ref="A109:A110"/>
    <mergeCell ref="B109:B110"/>
    <mergeCell ref="C109:C110"/>
    <mergeCell ref="E109:E110"/>
    <mergeCell ref="F109:F110"/>
    <mergeCell ref="G109:G110"/>
    <mergeCell ref="H109:H110"/>
    <mergeCell ref="K109:K110"/>
    <mergeCell ref="J109:J110"/>
    <mergeCell ref="K104:K106"/>
    <mergeCell ref="A107:A108"/>
    <mergeCell ref="B107:B108"/>
    <mergeCell ref="C107:C108"/>
    <mergeCell ref="E107:E108"/>
    <mergeCell ref="F107:F108"/>
    <mergeCell ref="G107:G108"/>
    <mergeCell ref="H107:H108"/>
    <mergeCell ref="I107:I108"/>
    <mergeCell ref="J107:J108"/>
    <mergeCell ref="K101:K103"/>
    <mergeCell ref="A104:A106"/>
    <mergeCell ref="B104:B106"/>
    <mergeCell ref="C104:C106"/>
    <mergeCell ref="E104:E106"/>
    <mergeCell ref="F104:F106"/>
    <mergeCell ref="G104:G106"/>
    <mergeCell ref="H104:H106"/>
    <mergeCell ref="I104:I106"/>
    <mergeCell ref="J104:J106"/>
    <mergeCell ref="A101:A103"/>
    <mergeCell ref="B101:B103"/>
    <mergeCell ref="C101:C103"/>
    <mergeCell ref="E101:E103"/>
    <mergeCell ref="F101:F103"/>
    <mergeCell ref="G101:G103"/>
    <mergeCell ref="H101:H103"/>
    <mergeCell ref="I99:I100"/>
    <mergeCell ref="J99:J100"/>
    <mergeCell ref="K99:K100"/>
    <mergeCell ref="I96:I98"/>
    <mergeCell ref="J96:J98"/>
    <mergeCell ref="K96:K98"/>
    <mergeCell ref="H99:H100"/>
    <mergeCell ref="I101:I103"/>
    <mergeCell ref="J101:J103"/>
    <mergeCell ref="A99:A100"/>
    <mergeCell ref="B99:B100"/>
    <mergeCell ref="C99:C100"/>
    <mergeCell ref="E99:E100"/>
    <mergeCell ref="F99:F100"/>
    <mergeCell ref="G99:G100"/>
    <mergeCell ref="I94:I95"/>
    <mergeCell ref="J94:J95"/>
    <mergeCell ref="K94:K95"/>
    <mergeCell ref="A96:A98"/>
    <mergeCell ref="B96:B98"/>
    <mergeCell ref="C96:C98"/>
    <mergeCell ref="E96:E98"/>
    <mergeCell ref="F96:F98"/>
    <mergeCell ref="G96:G98"/>
    <mergeCell ref="H96:H98"/>
    <mergeCell ref="I91:I93"/>
    <mergeCell ref="J91:J93"/>
    <mergeCell ref="K91:K93"/>
    <mergeCell ref="A94:A95"/>
    <mergeCell ref="B94:B95"/>
    <mergeCell ref="C94:C95"/>
    <mergeCell ref="E94:E95"/>
    <mergeCell ref="F94:F95"/>
    <mergeCell ref="G94:G95"/>
    <mergeCell ref="H94:H95"/>
    <mergeCell ref="I88:I90"/>
    <mergeCell ref="J88:J90"/>
    <mergeCell ref="K88:K90"/>
    <mergeCell ref="A91:A93"/>
    <mergeCell ref="B91:B93"/>
    <mergeCell ref="C91:C93"/>
    <mergeCell ref="E91:E93"/>
    <mergeCell ref="F91:F93"/>
    <mergeCell ref="G91:G93"/>
    <mergeCell ref="H91:H93"/>
    <mergeCell ref="I85:I87"/>
    <mergeCell ref="J85:J87"/>
    <mergeCell ref="K85:K87"/>
    <mergeCell ref="A88:A90"/>
    <mergeCell ref="B88:B90"/>
    <mergeCell ref="C88:C90"/>
    <mergeCell ref="E88:E90"/>
    <mergeCell ref="F88:F90"/>
    <mergeCell ref="G88:G90"/>
    <mergeCell ref="H88:H90"/>
    <mergeCell ref="J80:J82"/>
    <mergeCell ref="K80:K82"/>
    <mergeCell ref="A83:D83"/>
    <mergeCell ref="A85:A87"/>
    <mergeCell ref="B85:B87"/>
    <mergeCell ref="C85:C87"/>
    <mergeCell ref="E85:E87"/>
    <mergeCell ref="F85:F87"/>
    <mergeCell ref="G85:G87"/>
    <mergeCell ref="H85:H87"/>
    <mergeCell ref="A80:A82"/>
    <mergeCell ref="B80:B82"/>
    <mergeCell ref="C80:C82"/>
    <mergeCell ref="F80:F82"/>
    <mergeCell ref="H80:H82"/>
    <mergeCell ref="I80:I82"/>
    <mergeCell ref="K74:K76"/>
    <mergeCell ref="A77:A79"/>
    <mergeCell ref="B77:B79"/>
    <mergeCell ref="C77:C79"/>
    <mergeCell ref="F77:F79"/>
    <mergeCell ref="H77:H79"/>
    <mergeCell ref="I77:I79"/>
    <mergeCell ref="J77:J79"/>
    <mergeCell ref="K77:K79"/>
    <mergeCell ref="J69:J70"/>
    <mergeCell ref="K69:K70"/>
    <mergeCell ref="A67:A68"/>
    <mergeCell ref="A74:A76"/>
    <mergeCell ref="B74:B76"/>
    <mergeCell ref="C74:C76"/>
    <mergeCell ref="F74:F76"/>
    <mergeCell ref="H74:H76"/>
    <mergeCell ref="I74:I76"/>
    <mergeCell ref="J74:J76"/>
    <mergeCell ref="C61:C63"/>
    <mergeCell ref="F61:F63"/>
    <mergeCell ref="H61:H63"/>
    <mergeCell ref="K67:K68"/>
    <mergeCell ref="A69:A70"/>
    <mergeCell ref="B69:B70"/>
    <mergeCell ref="C69:C70"/>
    <mergeCell ref="F69:F70"/>
    <mergeCell ref="H69:H70"/>
    <mergeCell ref="I69:I70"/>
    <mergeCell ref="J64:J66"/>
    <mergeCell ref="K64:K66"/>
    <mergeCell ref="A61:A63"/>
    <mergeCell ref="B67:B68"/>
    <mergeCell ref="C67:C68"/>
    <mergeCell ref="F67:F68"/>
    <mergeCell ref="H67:H68"/>
    <mergeCell ref="I67:I68"/>
    <mergeCell ref="J61:J63"/>
    <mergeCell ref="B61:B63"/>
    <mergeCell ref="A64:A66"/>
    <mergeCell ref="B64:B66"/>
    <mergeCell ref="C64:C66"/>
    <mergeCell ref="F64:F66"/>
    <mergeCell ref="H64:H66"/>
    <mergeCell ref="I64:I66"/>
    <mergeCell ref="I61:I63"/>
    <mergeCell ref="J59:J60"/>
    <mergeCell ref="K59:K60"/>
    <mergeCell ref="A59:A60"/>
    <mergeCell ref="B59:B60"/>
    <mergeCell ref="C59:C60"/>
    <mergeCell ref="F59:F60"/>
    <mergeCell ref="H59:H60"/>
    <mergeCell ref="I59:I60"/>
    <mergeCell ref="K61:K63"/>
    <mergeCell ref="J54:J55"/>
    <mergeCell ref="K54:K55"/>
    <mergeCell ref="A56:A58"/>
    <mergeCell ref="B56:B58"/>
    <mergeCell ref="C56:C58"/>
    <mergeCell ref="F56:F58"/>
    <mergeCell ref="H56:H58"/>
    <mergeCell ref="I56:I58"/>
    <mergeCell ref="J56:J58"/>
    <mergeCell ref="K56:K58"/>
    <mergeCell ref="A54:A55"/>
    <mergeCell ref="B54:B55"/>
    <mergeCell ref="C54:C55"/>
    <mergeCell ref="F54:F55"/>
    <mergeCell ref="H54:H55"/>
    <mergeCell ref="I54:I55"/>
    <mergeCell ref="J45:J47"/>
    <mergeCell ref="K45:K47"/>
    <mergeCell ref="J48:J50"/>
    <mergeCell ref="K48:K50"/>
    <mergeCell ref="A48:A50"/>
    <mergeCell ref="B48:B50"/>
    <mergeCell ref="C48:C50"/>
    <mergeCell ref="F48:F50"/>
    <mergeCell ref="H48:H50"/>
    <mergeCell ref="I48:I50"/>
    <mergeCell ref="F40:F42"/>
    <mergeCell ref="H40:H42"/>
    <mergeCell ref="K40:K42"/>
    <mergeCell ref="A43:D43"/>
    <mergeCell ref="A45:A47"/>
    <mergeCell ref="B45:B47"/>
    <mergeCell ref="C45:C47"/>
    <mergeCell ref="F45:F47"/>
    <mergeCell ref="H45:H47"/>
    <mergeCell ref="I45:I47"/>
    <mergeCell ref="A34:A36"/>
    <mergeCell ref="B34:B36"/>
    <mergeCell ref="A40:A42"/>
    <mergeCell ref="B40:B42"/>
    <mergeCell ref="C40:C42"/>
    <mergeCell ref="E40:E42"/>
    <mergeCell ref="C34:C36"/>
    <mergeCell ref="E34:E36"/>
    <mergeCell ref="K29:K30"/>
    <mergeCell ref="B27:B28"/>
    <mergeCell ref="K34:K36"/>
    <mergeCell ref="A37:A39"/>
    <mergeCell ref="B37:B39"/>
    <mergeCell ref="C37:C39"/>
    <mergeCell ref="E37:E39"/>
    <mergeCell ref="F37:F39"/>
    <mergeCell ref="H37:H39"/>
    <mergeCell ref="K37:K39"/>
    <mergeCell ref="A29:A30"/>
    <mergeCell ref="B29:B30"/>
    <mergeCell ref="C29:C30"/>
    <mergeCell ref="E29:E30"/>
    <mergeCell ref="F29:F30"/>
    <mergeCell ref="F27:F28"/>
    <mergeCell ref="F34:F36"/>
    <mergeCell ref="H34:H36"/>
    <mergeCell ref="H24:H26"/>
    <mergeCell ref="A21:A23"/>
    <mergeCell ref="B21:B23"/>
    <mergeCell ref="H21:H23"/>
    <mergeCell ref="H29:H30"/>
    <mergeCell ref="A27:A28"/>
    <mergeCell ref="E27:E28"/>
    <mergeCell ref="C27:C28"/>
    <mergeCell ref="K19:K20"/>
    <mergeCell ref="A19:A20"/>
    <mergeCell ref="B19:B20"/>
    <mergeCell ref="C19:C20"/>
    <mergeCell ref="E19:E20"/>
    <mergeCell ref="F19:F20"/>
    <mergeCell ref="H19:H20"/>
    <mergeCell ref="K27:K28"/>
    <mergeCell ref="H27:H28"/>
    <mergeCell ref="K14:K15"/>
    <mergeCell ref="K16:K18"/>
    <mergeCell ref="B14:B15"/>
    <mergeCell ref="C14:C15"/>
    <mergeCell ref="E14:E15"/>
    <mergeCell ref="F14:F15"/>
    <mergeCell ref="H14:H15"/>
    <mergeCell ref="H16:H18"/>
    <mergeCell ref="F16:F18"/>
    <mergeCell ref="F51:F53"/>
    <mergeCell ref="C21:C23"/>
    <mergeCell ref="E21:E23"/>
    <mergeCell ref="F21:F23"/>
    <mergeCell ref="A24:A26"/>
    <mergeCell ref="B24:B26"/>
    <mergeCell ref="C24:C26"/>
    <mergeCell ref="E24:E26"/>
    <mergeCell ref="F24:F26"/>
    <mergeCell ref="A8:A10"/>
    <mergeCell ref="B8:B10"/>
    <mergeCell ref="A16:A18"/>
    <mergeCell ref="B16:B18"/>
    <mergeCell ref="C16:C18"/>
    <mergeCell ref="E16:E18"/>
    <mergeCell ref="F5:F7"/>
    <mergeCell ref="H5:H7"/>
    <mergeCell ref="K5:K7"/>
    <mergeCell ref="A14:A15"/>
    <mergeCell ref="A3:K3"/>
    <mergeCell ref="A5:A7"/>
    <mergeCell ref="B5:B7"/>
    <mergeCell ref="C5:C7"/>
    <mergeCell ref="E5:E7"/>
    <mergeCell ref="H8:H10"/>
    <mergeCell ref="H51:H53"/>
    <mergeCell ref="I51:I53"/>
    <mergeCell ref="J51:J53"/>
    <mergeCell ref="K51:K53"/>
    <mergeCell ref="F8:F10"/>
    <mergeCell ref="C8:C10"/>
    <mergeCell ref="E8:E10"/>
    <mergeCell ref="K21:K23"/>
    <mergeCell ref="K24:K26"/>
    <mergeCell ref="K8:K10"/>
  </mergeCells>
  <printOptions/>
  <pageMargins left="0.53" right="0.11811023622047245" top="0.16" bottom="0.54" header="0.13" footer="0.13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2">
      <selection activeCell="D13" sqref="D13"/>
    </sheetView>
  </sheetViews>
  <sheetFormatPr defaultColWidth="8.88671875" defaultRowHeight="13.5"/>
  <cols>
    <col min="1" max="1" width="5.88671875" style="0" customWidth="1"/>
    <col min="2" max="2" width="7.77734375" style="0" customWidth="1"/>
    <col min="3" max="4" width="9.10546875" style="0" customWidth="1"/>
    <col min="6" max="6" width="6.6640625" style="0" customWidth="1"/>
    <col min="7" max="7" width="7.77734375" style="0" customWidth="1"/>
    <col min="8" max="8" width="9.3359375" style="0" customWidth="1"/>
    <col min="9" max="9" width="10.88671875" style="0" customWidth="1"/>
    <col min="10" max="10" width="9.5546875" style="0" customWidth="1"/>
  </cols>
  <sheetData>
    <row r="1" spans="1:10" ht="22.5" customHeight="1">
      <c r="A1" s="207" t="s">
        <v>103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18.75">
      <c r="A2" s="208" t="s">
        <v>154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ht="22.5" customHeight="1">
      <c r="A3" s="208" t="s">
        <v>225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0" ht="20.25" hidden="1">
      <c r="A4" s="210"/>
      <c r="B4" s="210"/>
      <c r="C4" s="210"/>
      <c r="D4" s="210"/>
      <c r="E4" s="210"/>
      <c r="F4" s="210"/>
      <c r="G4" s="210"/>
      <c r="H4" s="210"/>
      <c r="I4" s="210"/>
      <c r="J4" s="210"/>
    </row>
    <row r="5" spans="1:10" ht="45.75" customHeight="1" thickBot="1">
      <c r="A5" s="211" t="s">
        <v>269</v>
      </c>
      <c r="B5" s="211"/>
      <c r="C5" s="211"/>
      <c r="D5" s="211"/>
      <c r="E5" s="211"/>
      <c r="F5" s="211"/>
      <c r="G5" s="211"/>
      <c r="H5" s="211"/>
      <c r="I5" s="211"/>
      <c r="J5" s="211"/>
    </row>
    <row r="6" spans="1:10" ht="30" customHeight="1" thickBot="1">
      <c r="A6" s="212" t="s">
        <v>72</v>
      </c>
      <c r="B6" s="213"/>
      <c r="C6" s="213"/>
      <c r="D6" s="213"/>
      <c r="E6" s="214"/>
      <c r="F6" s="212" t="s">
        <v>71</v>
      </c>
      <c r="G6" s="213"/>
      <c r="H6" s="213"/>
      <c r="I6" s="213"/>
      <c r="J6" s="215"/>
    </row>
    <row r="7" spans="1:10" ht="22.5" customHeight="1" thickTop="1">
      <c r="A7" s="203" t="s">
        <v>74</v>
      </c>
      <c r="B7" s="205" t="s">
        <v>64</v>
      </c>
      <c r="C7" s="190" t="s">
        <v>226</v>
      </c>
      <c r="D7" s="190" t="s">
        <v>227</v>
      </c>
      <c r="E7" s="29" t="s">
        <v>94</v>
      </c>
      <c r="F7" s="203" t="s">
        <v>74</v>
      </c>
      <c r="G7" s="205" t="s">
        <v>64</v>
      </c>
      <c r="H7" s="190" t="s">
        <v>226</v>
      </c>
      <c r="I7" s="190" t="s">
        <v>228</v>
      </c>
      <c r="J7" s="54" t="s">
        <v>94</v>
      </c>
    </row>
    <row r="8" spans="1:10" ht="33" customHeight="1">
      <c r="A8" s="204"/>
      <c r="B8" s="206"/>
      <c r="C8" s="191"/>
      <c r="D8" s="191"/>
      <c r="E8" s="64" t="s">
        <v>33</v>
      </c>
      <c r="F8" s="204"/>
      <c r="G8" s="206"/>
      <c r="H8" s="191"/>
      <c r="I8" s="191"/>
      <c r="J8" s="65" t="s">
        <v>33</v>
      </c>
    </row>
    <row r="9" spans="1:10" ht="33" customHeight="1" thickBot="1">
      <c r="A9" s="192" t="s">
        <v>65</v>
      </c>
      <c r="B9" s="193"/>
      <c r="C9" s="66">
        <f>TRUNC(C10+C11+C12+C13+C14+C15)</f>
        <v>865481</v>
      </c>
      <c r="D9" s="66">
        <f>TRUNC(D10+D11+D12+D13+D14+D15)</f>
        <v>801797</v>
      </c>
      <c r="E9" s="67">
        <f aca="true" t="shared" si="0" ref="E9:E15">(D9-C9)</f>
        <v>-63684</v>
      </c>
      <c r="F9" s="192" t="s">
        <v>65</v>
      </c>
      <c r="G9" s="193"/>
      <c r="H9" s="66">
        <f>TRUNC(H10+H11+H12+H13+H14+H15+H16+H17)</f>
        <v>865481</v>
      </c>
      <c r="I9" s="66">
        <f>TRUNC(I10+I11+I12+I13+I14+I15+I16+I17)</f>
        <v>801797</v>
      </c>
      <c r="J9" s="68">
        <f>(I9-H9)</f>
        <v>-63684</v>
      </c>
    </row>
    <row r="10" spans="1:10" ht="39.75" customHeight="1" thickTop="1">
      <c r="A10" s="194" t="s">
        <v>4</v>
      </c>
      <c r="B10" s="196" t="s">
        <v>4</v>
      </c>
      <c r="C10" s="198">
        <f>'2014세입예산'!D8</f>
        <v>794783</v>
      </c>
      <c r="D10" s="198">
        <f>'2014세입예산'!E8</f>
        <v>742770</v>
      </c>
      <c r="E10" s="200">
        <f>TRUNC(D10-C10)</f>
        <v>-52013</v>
      </c>
      <c r="F10" s="202" t="s">
        <v>5</v>
      </c>
      <c r="G10" s="40" t="s">
        <v>6</v>
      </c>
      <c r="H10" s="41">
        <f>'2014총괄표'!J11</f>
        <v>504966</v>
      </c>
      <c r="I10" s="41">
        <f>'2014총괄표'!K11</f>
        <v>472330</v>
      </c>
      <c r="J10" s="55">
        <f>(I10-H10)</f>
        <v>-32636</v>
      </c>
    </row>
    <row r="11" spans="1:10" ht="39.75" customHeight="1">
      <c r="A11" s="195"/>
      <c r="B11" s="197"/>
      <c r="C11" s="199"/>
      <c r="D11" s="199"/>
      <c r="E11" s="201"/>
      <c r="F11" s="202"/>
      <c r="G11" s="13" t="s">
        <v>7</v>
      </c>
      <c r="H11" s="15">
        <f>'2014총괄표'!J17</f>
        <v>2000</v>
      </c>
      <c r="I11" s="15">
        <f>'2014총괄표'!K17</f>
        <v>2000</v>
      </c>
      <c r="J11" s="16">
        <f aca="true" t="shared" si="1" ref="J11:J17">(I11-H11)</f>
        <v>0</v>
      </c>
    </row>
    <row r="12" spans="1:10" ht="39.75" customHeight="1">
      <c r="A12" s="70" t="s">
        <v>8</v>
      </c>
      <c r="B12" s="12" t="s">
        <v>8</v>
      </c>
      <c r="C12" s="15">
        <f>'2014세입예산'!D13</f>
        <v>33000</v>
      </c>
      <c r="D12" s="15">
        <f>'2014세입예산'!E13</f>
        <v>23000</v>
      </c>
      <c r="E12" s="42">
        <f t="shared" si="0"/>
        <v>-10000</v>
      </c>
      <c r="F12" s="195"/>
      <c r="G12" s="12" t="s">
        <v>31</v>
      </c>
      <c r="H12" s="15">
        <f>'2014총괄표'!J20</f>
        <v>65743</v>
      </c>
      <c r="I12" s="15">
        <f>'2014총괄표'!K20</f>
        <v>56031</v>
      </c>
      <c r="J12" s="16">
        <f t="shared" si="1"/>
        <v>-9712</v>
      </c>
    </row>
    <row r="13" spans="1:11" ht="39.75" customHeight="1">
      <c r="A13" s="46" t="s">
        <v>9</v>
      </c>
      <c r="B13" s="12" t="s">
        <v>9</v>
      </c>
      <c r="C13" s="15">
        <f>'2014세입예산'!D16</f>
        <v>2250</v>
      </c>
      <c r="D13" s="15">
        <f>'2014세입예산'!E16</f>
        <v>8436</v>
      </c>
      <c r="E13" s="42">
        <f t="shared" si="0"/>
        <v>6186</v>
      </c>
      <c r="F13" s="43" t="s">
        <v>10</v>
      </c>
      <c r="G13" s="12" t="s">
        <v>32</v>
      </c>
      <c r="H13" s="15">
        <f>'2014총괄표'!J27</f>
        <v>12840</v>
      </c>
      <c r="I13" s="15">
        <f>'2014총괄표'!K27</f>
        <v>13071</v>
      </c>
      <c r="J13" s="16">
        <f t="shared" si="1"/>
        <v>231</v>
      </c>
      <c r="K13" s="21"/>
    </row>
    <row r="14" spans="1:10" ht="39.75" customHeight="1">
      <c r="A14" s="46" t="s">
        <v>11</v>
      </c>
      <c r="B14" s="12" t="s">
        <v>11</v>
      </c>
      <c r="C14" s="15">
        <f>'2014세입예산'!D19</f>
        <v>26000</v>
      </c>
      <c r="D14" s="15">
        <f>'2014세입예산'!E19</f>
        <v>15984</v>
      </c>
      <c r="E14" s="42">
        <f t="shared" si="0"/>
        <v>-10016</v>
      </c>
      <c r="F14" s="187" t="s">
        <v>12</v>
      </c>
      <c r="G14" s="12" t="s">
        <v>31</v>
      </c>
      <c r="H14" s="15">
        <f>'2014총괄표'!J31</f>
        <v>246371</v>
      </c>
      <c r="I14" s="15">
        <f>'2014총괄표'!K31</f>
        <v>237138</v>
      </c>
      <c r="J14" s="16">
        <f t="shared" si="1"/>
        <v>-9233</v>
      </c>
    </row>
    <row r="15" spans="1:10" ht="39.75" customHeight="1">
      <c r="A15" s="46" t="s">
        <v>13</v>
      </c>
      <c r="B15" s="12" t="s">
        <v>13</v>
      </c>
      <c r="C15" s="15">
        <f>'2014세입예산'!D22</f>
        <v>9448</v>
      </c>
      <c r="D15" s="15">
        <f>'2014세입예산'!E22</f>
        <v>11607</v>
      </c>
      <c r="E15" s="42">
        <f t="shared" si="0"/>
        <v>2159</v>
      </c>
      <c r="F15" s="188"/>
      <c r="G15" s="13" t="s">
        <v>14</v>
      </c>
      <c r="H15" s="15">
        <f>'2014총괄표'!J39</f>
        <v>21277</v>
      </c>
      <c r="I15" s="15">
        <f>'2014총괄표'!K39</f>
        <v>9339</v>
      </c>
      <c r="J15" s="16">
        <f t="shared" si="1"/>
        <v>-11938</v>
      </c>
    </row>
    <row r="16" spans="1:10" ht="39.75" customHeight="1">
      <c r="A16" s="56"/>
      <c r="B16" s="36"/>
      <c r="C16" s="44"/>
      <c r="D16" s="44"/>
      <c r="E16" s="45"/>
      <c r="F16" s="46" t="s">
        <v>55</v>
      </c>
      <c r="G16" s="12" t="s">
        <v>55</v>
      </c>
      <c r="H16" s="15">
        <f>'2014총괄표'!J42</f>
        <v>3600</v>
      </c>
      <c r="I16" s="15">
        <f>'2014총괄표'!K42</f>
        <v>3600</v>
      </c>
      <c r="J16" s="16">
        <f t="shared" si="1"/>
        <v>0</v>
      </c>
    </row>
    <row r="17" spans="1:10" ht="39.75" customHeight="1" thickBot="1">
      <c r="A17" s="57"/>
      <c r="B17" s="58"/>
      <c r="C17" s="59"/>
      <c r="D17" s="59"/>
      <c r="E17" s="60"/>
      <c r="F17" s="143" t="s">
        <v>147</v>
      </c>
      <c r="G17" s="61" t="s">
        <v>147</v>
      </c>
      <c r="H17" s="62">
        <f>'2014총괄표'!J44</f>
        <v>8684</v>
      </c>
      <c r="I17" s="62">
        <f>'2014총괄표'!K44</f>
        <v>8288</v>
      </c>
      <c r="J17" s="63">
        <f t="shared" si="1"/>
        <v>-396</v>
      </c>
    </row>
    <row r="18" spans="1:10" s="23" customFormat="1" ht="120.75" customHeight="1">
      <c r="A18" s="189" t="s">
        <v>58</v>
      </c>
      <c r="B18" s="189"/>
      <c r="C18" s="189"/>
      <c r="D18" s="189"/>
      <c r="E18" s="189"/>
      <c r="F18" s="189"/>
      <c r="G18" s="189"/>
      <c r="H18" s="189"/>
      <c r="I18" s="189"/>
      <c r="J18" s="189"/>
    </row>
    <row r="19" spans="1:10" ht="13.5" hidden="1">
      <c r="A19" s="189"/>
      <c r="B19" s="189"/>
      <c r="C19" s="189"/>
      <c r="D19" s="189"/>
      <c r="E19" s="189"/>
      <c r="F19" s="189"/>
      <c r="G19" s="189"/>
      <c r="H19" s="189"/>
      <c r="I19" s="189"/>
      <c r="J19" s="189"/>
    </row>
    <row r="20" spans="1:10" ht="45.75" customHeight="1" hidden="1">
      <c r="A20" s="189"/>
      <c r="B20" s="189"/>
      <c r="C20" s="189"/>
      <c r="D20" s="189"/>
      <c r="E20" s="189"/>
      <c r="F20" s="189"/>
      <c r="G20" s="189"/>
      <c r="H20" s="189"/>
      <c r="I20" s="189"/>
      <c r="J20" s="189"/>
    </row>
    <row r="21" spans="1:10" ht="13.5" hidden="1">
      <c r="A21" s="189"/>
      <c r="B21" s="189"/>
      <c r="C21" s="189"/>
      <c r="D21" s="189"/>
      <c r="E21" s="189"/>
      <c r="F21" s="189"/>
      <c r="G21" s="189"/>
      <c r="H21" s="189"/>
      <c r="I21" s="189"/>
      <c r="J21" s="189"/>
    </row>
    <row r="22" ht="39" customHeight="1"/>
    <row r="23" ht="35.25" customHeight="1"/>
  </sheetData>
  <sheetProtection/>
  <mergeCells count="25">
    <mergeCell ref="G7:G8"/>
    <mergeCell ref="A1:J1"/>
    <mergeCell ref="A2:J2"/>
    <mergeCell ref="A3:J3"/>
    <mergeCell ref="A4:J4"/>
    <mergeCell ref="A5:J5"/>
    <mergeCell ref="A6:E6"/>
    <mergeCell ref="F6:J6"/>
    <mergeCell ref="E10:E11"/>
    <mergeCell ref="F10:F12"/>
    <mergeCell ref="A7:A8"/>
    <mergeCell ref="B7:B8"/>
    <mergeCell ref="C7:C8"/>
    <mergeCell ref="D7:D8"/>
    <mergeCell ref="F7:F8"/>
    <mergeCell ref="F14:F15"/>
    <mergeCell ref="A18:J21"/>
    <mergeCell ref="H7:H8"/>
    <mergeCell ref="I7:I8"/>
    <mergeCell ref="A9:B9"/>
    <mergeCell ref="F9:G9"/>
    <mergeCell ref="A10:A11"/>
    <mergeCell ref="B10:B11"/>
    <mergeCell ref="C10:C11"/>
    <mergeCell ref="D10:D11"/>
  </mergeCells>
  <printOptions/>
  <pageMargins left="0.31" right="0.21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34">
      <selection activeCell="D41" sqref="D41"/>
    </sheetView>
  </sheetViews>
  <sheetFormatPr defaultColWidth="8.88671875" defaultRowHeight="13.5"/>
  <cols>
    <col min="1" max="2" width="4.88671875" style="0" customWidth="1"/>
    <col min="3" max="3" width="7.10546875" style="0" customWidth="1"/>
    <col min="4" max="5" width="8.3359375" style="0" customWidth="1"/>
    <col min="6" max="6" width="8.6640625" style="0" customWidth="1"/>
    <col min="7" max="7" width="5.5546875" style="0" customWidth="1"/>
    <col min="8" max="8" width="5.3359375" style="0" customWidth="1"/>
    <col min="9" max="9" width="7.10546875" style="0" customWidth="1"/>
    <col min="10" max="11" width="8.3359375" style="0" customWidth="1"/>
    <col min="12" max="12" width="8.6640625" style="0" customWidth="1"/>
    <col min="13" max="13" width="19.99609375" style="0" customWidth="1"/>
  </cols>
  <sheetData>
    <row r="1" spans="1:12" ht="20.25">
      <c r="A1" s="210" t="s">
        <v>98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8.75">
      <c r="A2" s="208" t="s">
        <v>157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ht="18.75">
      <c r="A3" s="208" t="s">
        <v>223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ht="18.75">
      <c r="A4" s="208" t="s">
        <v>271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>
      <c r="A5" s="208" t="s">
        <v>270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9.5" customHeight="1" thickBot="1">
      <c r="A6" s="228" t="s">
        <v>15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</row>
    <row r="7" spans="1:12" ht="22.5" customHeight="1" thickBot="1">
      <c r="A7" s="229" t="s">
        <v>62</v>
      </c>
      <c r="B7" s="229"/>
      <c r="C7" s="229"/>
      <c r="D7" s="229"/>
      <c r="E7" s="229"/>
      <c r="F7" s="229"/>
      <c r="G7" s="230" t="s">
        <v>100</v>
      </c>
      <c r="H7" s="229"/>
      <c r="I7" s="229"/>
      <c r="J7" s="229"/>
      <c r="K7" s="229"/>
      <c r="L7" s="229"/>
    </row>
    <row r="8" spans="1:12" ht="22.5" customHeight="1" thickTop="1">
      <c r="A8" s="231" t="s">
        <v>74</v>
      </c>
      <c r="B8" s="233" t="s">
        <v>64</v>
      </c>
      <c r="C8" s="233" t="s">
        <v>75</v>
      </c>
      <c r="D8" s="320" t="s">
        <v>229</v>
      </c>
      <c r="E8" s="320" t="s">
        <v>230</v>
      </c>
      <c r="F8" s="130" t="s">
        <v>94</v>
      </c>
      <c r="G8" s="236" t="s">
        <v>74</v>
      </c>
      <c r="H8" s="233" t="s">
        <v>64</v>
      </c>
      <c r="I8" s="233" t="s">
        <v>75</v>
      </c>
      <c r="J8" s="320" t="s">
        <v>229</v>
      </c>
      <c r="K8" s="320" t="s">
        <v>230</v>
      </c>
      <c r="L8" s="130" t="s">
        <v>94</v>
      </c>
    </row>
    <row r="9" spans="1:12" ht="22.5" customHeight="1" thickBot="1">
      <c r="A9" s="232"/>
      <c r="B9" s="234"/>
      <c r="C9" s="234"/>
      <c r="D9" s="235"/>
      <c r="E9" s="235"/>
      <c r="F9" s="69" t="s">
        <v>33</v>
      </c>
      <c r="G9" s="237"/>
      <c r="H9" s="234"/>
      <c r="I9" s="234"/>
      <c r="J9" s="235"/>
      <c r="K9" s="235"/>
      <c r="L9" s="69" t="s">
        <v>33</v>
      </c>
    </row>
    <row r="10" spans="1:12" ht="26.25" customHeight="1" thickBot="1" thickTop="1">
      <c r="A10" s="238" t="s">
        <v>65</v>
      </c>
      <c r="B10" s="239"/>
      <c r="C10" s="239"/>
      <c r="D10" s="131">
        <f>TRUNC(D11+M16+D14+D17+D20+D23)</f>
        <v>865481</v>
      </c>
      <c r="E10" s="131">
        <f>TRUNC(E11+N16+E14+E17+E20+E23)</f>
        <v>801797</v>
      </c>
      <c r="F10" s="132">
        <f>TRUNC(E10-D10)</f>
        <v>-63684</v>
      </c>
      <c r="G10" s="240" t="s">
        <v>63</v>
      </c>
      <c r="H10" s="239"/>
      <c r="I10" s="239"/>
      <c r="J10" s="131">
        <f>TRUNC(J11+J17+J20+J27+J31+J39+J42+J44)</f>
        <v>865481</v>
      </c>
      <c r="K10" s="131">
        <f>TRUNC(K11+K17+K20+K27+K31+K39+K42+K44)</f>
        <v>801797</v>
      </c>
      <c r="L10" s="132">
        <f>TRUNC(K10-J10)</f>
        <v>-63684</v>
      </c>
    </row>
    <row r="11" spans="1:12" ht="30" customHeight="1" thickTop="1">
      <c r="A11" s="227" t="s">
        <v>4</v>
      </c>
      <c r="B11" s="243" t="s">
        <v>4</v>
      </c>
      <c r="C11" s="129" t="s">
        <v>19</v>
      </c>
      <c r="D11" s="117">
        <f>TRUNC(D12+D13)</f>
        <v>794783</v>
      </c>
      <c r="E11" s="117">
        <f>TRUNC(E12+E13)</f>
        <v>742770</v>
      </c>
      <c r="F11" s="118">
        <f aca="true" t="shared" si="0" ref="F11:F32">SUM(E11-D11)</f>
        <v>-52013</v>
      </c>
      <c r="G11" s="227" t="s">
        <v>5</v>
      </c>
      <c r="H11" s="243" t="s">
        <v>6</v>
      </c>
      <c r="I11" s="116" t="s">
        <v>19</v>
      </c>
      <c r="J11" s="117">
        <f>TRUNC(J12+J13+J14+J15+J16)</f>
        <v>504966</v>
      </c>
      <c r="K11" s="117">
        <f>TRUNC(K12+K13+K14+K15+K16)</f>
        <v>472330</v>
      </c>
      <c r="L11" s="133">
        <f aca="true" t="shared" si="1" ref="L11:L30">TRUNC(K11-J11)</f>
        <v>-32636</v>
      </c>
    </row>
    <row r="12" spans="1:13" ht="30" customHeight="1">
      <c r="A12" s="224"/>
      <c r="B12" s="220"/>
      <c r="C12" s="115" t="s">
        <v>156</v>
      </c>
      <c r="D12" s="122">
        <f>'2014세입예산'!D9</f>
        <v>193344</v>
      </c>
      <c r="E12" s="122">
        <f>'2014세입예산'!E9</f>
        <v>181777</v>
      </c>
      <c r="F12" s="134">
        <f t="shared" si="0"/>
        <v>-11567</v>
      </c>
      <c r="G12" s="224"/>
      <c r="H12" s="220"/>
      <c r="I12" s="53" t="s">
        <v>36</v>
      </c>
      <c r="J12" s="122">
        <f>'2014세출예산'!D6</f>
        <v>212628</v>
      </c>
      <c r="K12" s="122">
        <f>'2014세출예산'!E6</f>
        <v>194484</v>
      </c>
      <c r="L12" s="123">
        <f t="shared" si="1"/>
        <v>-18144</v>
      </c>
      <c r="M12" s="241"/>
    </row>
    <row r="13" spans="1:13" ht="30" customHeight="1">
      <c r="A13" s="223"/>
      <c r="B13" s="221"/>
      <c r="C13" s="115" t="s">
        <v>155</v>
      </c>
      <c r="D13" s="122">
        <f>'2014세입예산'!D10</f>
        <v>601439</v>
      </c>
      <c r="E13" s="122">
        <f>'2014세입예산'!E10</f>
        <v>560993</v>
      </c>
      <c r="F13" s="134">
        <f t="shared" si="0"/>
        <v>-40446</v>
      </c>
      <c r="G13" s="224"/>
      <c r="H13" s="220"/>
      <c r="I13" s="53" t="s">
        <v>37</v>
      </c>
      <c r="J13" s="122">
        <f>'2014세출예산'!D7</f>
        <v>215535</v>
      </c>
      <c r="K13" s="122">
        <f>'2014세출예산'!E7</f>
        <v>205951</v>
      </c>
      <c r="L13" s="123">
        <f t="shared" si="1"/>
        <v>-9584</v>
      </c>
      <c r="M13" s="242"/>
    </row>
    <row r="14" spans="1:12" ht="30" customHeight="1">
      <c r="A14" s="222" t="s">
        <v>8</v>
      </c>
      <c r="B14" s="216" t="s">
        <v>8</v>
      </c>
      <c r="C14" s="136" t="s">
        <v>19</v>
      </c>
      <c r="D14" s="125">
        <f>SUM(D15:D16)</f>
        <v>33000</v>
      </c>
      <c r="E14" s="125">
        <f>SUM(E15:E16)</f>
        <v>23000</v>
      </c>
      <c r="F14" s="126">
        <f t="shared" si="0"/>
        <v>-10000</v>
      </c>
      <c r="G14" s="224"/>
      <c r="H14" s="220"/>
      <c r="I14" s="149" t="s">
        <v>159</v>
      </c>
      <c r="J14" s="122">
        <f>'2014세출예산'!D18</f>
        <v>35680</v>
      </c>
      <c r="K14" s="122">
        <f>'2014세출예산'!E18</f>
        <v>33370</v>
      </c>
      <c r="L14" s="123">
        <f t="shared" si="1"/>
        <v>-2310</v>
      </c>
    </row>
    <row r="15" spans="1:12" ht="30" customHeight="1">
      <c r="A15" s="224"/>
      <c r="B15" s="217"/>
      <c r="C15" s="52" t="s">
        <v>20</v>
      </c>
      <c r="D15" s="122">
        <f>'2014세입예산'!D14</f>
        <v>25000</v>
      </c>
      <c r="E15" s="122">
        <f>'2014세입예산'!E14</f>
        <v>15000</v>
      </c>
      <c r="F15" s="134">
        <f t="shared" si="0"/>
        <v>-10000</v>
      </c>
      <c r="G15" s="224"/>
      <c r="H15" s="220"/>
      <c r="I15" s="52" t="s">
        <v>38</v>
      </c>
      <c r="J15" s="122">
        <f>'2014세출예산'!D19</f>
        <v>40123</v>
      </c>
      <c r="K15" s="122">
        <f>'2014세출예산'!E19</f>
        <v>37525</v>
      </c>
      <c r="L15" s="123">
        <f t="shared" si="1"/>
        <v>-2598</v>
      </c>
    </row>
    <row r="16" spans="1:12" ht="30" customHeight="1">
      <c r="A16" s="223"/>
      <c r="B16" s="218"/>
      <c r="C16" s="52" t="s">
        <v>21</v>
      </c>
      <c r="D16" s="122">
        <f>'2014세입예산'!D15</f>
        <v>8000</v>
      </c>
      <c r="E16" s="122">
        <f>'2014세입예산'!E15</f>
        <v>8000</v>
      </c>
      <c r="F16" s="134">
        <f t="shared" si="0"/>
        <v>0</v>
      </c>
      <c r="G16" s="224"/>
      <c r="H16" s="220"/>
      <c r="I16" s="52" t="s">
        <v>39</v>
      </c>
      <c r="J16" s="122">
        <f>'2014세출예산'!D20</f>
        <v>1000</v>
      </c>
      <c r="K16" s="122">
        <f>'2014세출예산'!E20</f>
        <v>1000</v>
      </c>
      <c r="L16" s="123">
        <f t="shared" si="1"/>
        <v>0</v>
      </c>
    </row>
    <row r="17" spans="1:15" ht="30" customHeight="1">
      <c r="A17" s="222" t="s">
        <v>9</v>
      </c>
      <c r="B17" s="216" t="s">
        <v>9</v>
      </c>
      <c r="C17" s="136" t="s">
        <v>19</v>
      </c>
      <c r="D17" s="125">
        <f>TRUNC(D18+D19)</f>
        <v>2250</v>
      </c>
      <c r="E17" s="125">
        <f>TRUNC(E18+E19)</f>
        <v>8436</v>
      </c>
      <c r="F17" s="126">
        <f t="shared" si="0"/>
        <v>6186</v>
      </c>
      <c r="G17" s="224"/>
      <c r="H17" s="219" t="s">
        <v>7</v>
      </c>
      <c r="I17" s="136" t="s">
        <v>19</v>
      </c>
      <c r="J17" s="125">
        <f>TRUNC(J18+J19)</f>
        <v>2000</v>
      </c>
      <c r="K17" s="125">
        <f>SUM(K18+K19)</f>
        <v>2000</v>
      </c>
      <c r="L17" s="135">
        <f t="shared" si="1"/>
        <v>0</v>
      </c>
      <c r="O17" s="21"/>
    </row>
    <row r="18" spans="1:12" ht="39" customHeight="1">
      <c r="A18" s="224"/>
      <c r="B18" s="217"/>
      <c r="C18" s="52" t="s">
        <v>34</v>
      </c>
      <c r="D18" s="122">
        <f>'2014세입예산'!D17</f>
        <v>0</v>
      </c>
      <c r="E18" s="122">
        <f>'2014세입예산'!E17</f>
        <v>0</v>
      </c>
      <c r="F18" s="126">
        <f t="shared" si="0"/>
        <v>0</v>
      </c>
      <c r="G18" s="224"/>
      <c r="H18" s="220"/>
      <c r="I18" s="52" t="s">
        <v>56</v>
      </c>
      <c r="J18" s="137">
        <f>'2014세출예산'!D22</f>
        <v>1000</v>
      </c>
      <c r="K18" s="137">
        <f>'2014세출예산'!E22</f>
        <v>1000</v>
      </c>
      <c r="L18" s="135">
        <f t="shared" si="1"/>
        <v>0</v>
      </c>
    </row>
    <row r="19" spans="1:12" ht="42.75" customHeight="1">
      <c r="A19" s="223"/>
      <c r="B19" s="218"/>
      <c r="C19" s="52" t="s">
        <v>150</v>
      </c>
      <c r="D19" s="122">
        <f>'2014세입예산'!D18</f>
        <v>2250</v>
      </c>
      <c r="E19" s="122">
        <f>'2014세입예산'!E18</f>
        <v>8436</v>
      </c>
      <c r="F19" s="126">
        <f t="shared" si="0"/>
        <v>6186</v>
      </c>
      <c r="G19" s="224"/>
      <c r="H19" s="221"/>
      <c r="I19" s="53" t="s">
        <v>57</v>
      </c>
      <c r="J19" s="122">
        <f>'2014세출예산'!D23</f>
        <v>1000</v>
      </c>
      <c r="K19" s="122">
        <f>'2014세출예산'!E23</f>
        <v>1000</v>
      </c>
      <c r="L19" s="135">
        <f t="shared" si="1"/>
        <v>0</v>
      </c>
    </row>
    <row r="20" spans="1:12" ht="27" customHeight="1">
      <c r="A20" s="222" t="s">
        <v>11</v>
      </c>
      <c r="B20" s="216" t="s">
        <v>11</v>
      </c>
      <c r="C20" s="136" t="s">
        <v>19</v>
      </c>
      <c r="D20" s="125">
        <f>TRUNC(D21+D22)</f>
        <v>26000</v>
      </c>
      <c r="E20" s="125">
        <f>TRUNC(E21+E22)</f>
        <v>15984</v>
      </c>
      <c r="F20" s="126">
        <f t="shared" si="0"/>
        <v>-10016</v>
      </c>
      <c r="G20" s="224"/>
      <c r="H20" s="216" t="s">
        <v>31</v>
      </c>
      <c r="I20" s="136" t="s">
        <v>19</v>
      </c>
      <c r="J20" s="125">
        <f>TRUNC(J21+J22+J23+J24+J25+J26)</f>
        <v>65743</v>
      </c>
      <c r="K20" s="125">
        <f>TRUNC(K21+K22+K23+K24+K25+K26)</f>
        <v>56031</v>
      </c>
      <c r="L20" s="135">
        <f t="shared" si="1"/>
        <v>-9712</v>
      </c>
    </row>
    <row r="21" spans="1:12" ht="42" customHeight="1">
      <c r="A21" s="224"/>
      <c r="B21" s="217"/>
      <c r="C21" s="52" t="s">
        <v>138</v>
      </c>
      <c r="D21" s="122">
        <f>'2014세입예산'!D20</f>
        <v>1000</v>
      </c>
      <c r="E21" s="122">
        <f>'2014세입예산'!E20</f>
        <v>356</v>
      </c>
      <c r="F21" s="134">
        <f t="shared" si="0"/>
        <v>-644</v>
      </c>
      <c r="G21" s="224"/>
      <c r="H21" s="217"/>
      <c r="I21" s="53" t="s">
        <v>40</v>
      </c>
      <c r="J21" s="122">
        <f>'2014세출예산'!D25</f>
        <v>4200</v>
      </c>
      <c r="K21" s="122">
        <f>'2014세출예산'!E25</f>
        <v>1820</v>
      </c>
      <c r="L21" s="135">
        <f t="shared" si="1"/>
        <v>-2380</v>
      </c>
    </row>
    <row r="22" spans="1:12" ht="40.5" customHeight="1">
      <c r="A22" s="223"/>
      <c r="B22" s="218"/>
      <c r="C22" s="52" t="s">
        <v>139</v>
      </c>
      <c r="D22" s="122">
        <f>'2014세입예산'!D21</f>
        <v>25000</v>
      </c>
      <c r="E22" s="122">
        <f>'2014세입예산'!E21</f>
        <v>15628</v>
      </c>
      <c r="F22" s="134">
        <f t="shared" si="0"/>
        <v>-9372</v>
      </c>
      <c r="G22" s="224"/>
      <c r="H22" s="217"/>
      <c r="I22" s="52" t="s">
        <v>41</v>
      </c>
      <c r="J22" s="122">
        <f>'2014세출예산'!D26</f>
        <v>18883</v>
      </c>
      <c r="K22" s="122">
        <f>'2014세출예산'!E26</f>
        <v>17941</v>
      </c>
      <c r="L22" s="123">
        <f t="shared" si="1"/>
        <v>-942</v>
      </c>
    </row>
    <row r="23" spans="1:12" ht="27" customHeight="1">
      <c r="A23" s="222" t="s">
        <v>13</v>
      </c>
      <c r="B23" s="216" t="s">
        <v>13</v>
      </c>
      <c r="C23" s="136" t="s">
        <v>19</v>
      </c>
      <c r="D23" s="125">
        <f>TRUNC(D24+D25)</f>
        <v>9448</v>
      </c>
      <c r="E23" s="125">
        <f>TRUNC(E24+E25)</f>
        <v>11607</v>
      </c>
      <c r="F23" s="126">
        <f t="shared" si="0"/>
        <v>2159</v>
      </c>
      <c r="G23" s="224"/>
      <c r="H23" s="217"/>
      <c r="I23" s="53" t="s">
        <v>42</v>
      </c>
      <c r="J23" s="122">
        <f>'2014세출예산'!D27</f>
        <v>23400</v>
      </c>
      <c r="K23" s="122">
        <f>'2014세출예산'!E27</f>
        <v>23000</v>
      </c>
      <c r="L23" s="123">
        <f t="shared" si="1"/>
        <v>-400</v>
      </c>
    </row>
    <row r="24" spans="1:12" ht="26.25" customHeight="1">
      <c r="A24" s="224"/>
      <c r="B24" s="217"/>
      <c r="C24" s="52" t="s">
        <v>23</v>
      </c>
      <c r="D24" s="122">
        <f>'2014세입예산'!D23</f>
        <v>40</v>
      </c>
      <c r="E24" s="122">
        <f>'2014세입예산'!E23</f>
        <v>40</v>
      </c>
      <c r="F24" s="134">
        <f t="shared" si="0"/>
        <v>0</v>
      </c>
      <c r="G24" s="224"/>
      <c r="H24" s="217"/>
      <c r="I24" s="52" t="s">
        <v>43</v>
      </c>
      <c r="J24" s="122">
        <f>'2014세출예산'!D28</f>
        <v>7820</v>
      </c>
      <c r="K24" s="122">
        <f>'2014세출예산'!E28</f>
        <v>7170</v>
      </c>
      <c r="L24" s="123">
        <f t="shared" si="1"/>
        <v>-650</v>
      </c>
    </row>
    <row r="25" spans="1:15" ht="30" customHeight="1">
      <c r="A25" s="223"/>
      <c r="B25" s="218"/>
      <c r="C25" s="52" t="s">
        <v>24</v>
      </c>
      <c r="D25" s="122">
        <f>'2014세입예산'!D24</f>
        <v>9408</v>
      </c>
      <c r="E25" s="122">
        <f>'2014세입예산'!E24</f>
        <v>11567</v>
      </c>
      <c r="F25" s="134">
        <f t="shared" si="0"/>
        <v>2159</v>
      </c>
      <c r="G25" s="224"/>
      <c r="H25" s="217"/>
      <c r="I25" s="53" t="s">
        <v>44</v>
      </c>
      <c r="J25" s="122">
        <f>'2014세출예산'!D29</f>
        <v>7340</v>
      </c>
      <c r="K25" s="122">
        <f>'2014세출예산'!E29</f>
        <v>4000</v>
      </c>
      <c r="L25" s="123">
        <f t="shared" si="1"/>
        <v>-3340</v>
      </c>
      <c r="O25" s="22"/>
    </row>
    <row r="26" spans="1:15" ht="30" customHeight="1">
      <c r="A26" s="138"/>
      <c r="B26" s="53"/>
      <c r="C26" s="52"/>
      <c r="D26" s="122"/>
      <c r="E26" s="122"/>
      <c r="F26" s="134"/>
      <c r="G26" s="223"/>
      <c r="H26" s="218"/>
      <c r="I26" s="52" t="s">
        <v>45</v>
      </c>
      <c r="J26" s="122">
        <f>'2014세출예산'!D30</f>
        <v>4100</v>
      </c>
      <c r="K26" s="122">
        <f>'2014세출예산'!E30</f>
        <v>2100</v>
      </c>
      <c r="L26" s="135">
        <f t="shared" si="1"/>
        <v>-2000</v>
      </c>
      <c r="O26" s="22"/>
    </row>
    <row r="27" spans="1:12" ht="30" customHeight="1">
      <c r="A27" s="138"/>
      <c r="B27" s="53"/>
      <c r="C27" s="52"/>
      <c r="D27" s="122"/>
      <c r="E27" s="122"/>
      <c r="F27" s="134"/>
      <c r="G27" s="222" t="s">
        <v>76</v>
      </c>
      <c r="H27" s="216" t="s">
        <v>32</v>
      </c>
      <c r="I27" s="136" t="s">
        <v>19</v>
      </c>
      <c r="J27" s="125">
        <f>SUM(J28+J29+J30)</f>
        <v>12840</v>
      </c>
      <c r="K27" s="125">
        <f>SUM(K28+K29+K30)</f>
        <v>13071</v>
      </c>
      <c r="L27" s="135">
        <f t="shared" si="1"/>
        <v>231</v>
      </c>
    </row>
    <row r="28" spans="1:12" ht="24.75" customHeight="1">
      <c r="A28" s="138"/>
      <c r="B28" s="53"/>
      <c r="C28" s="52"/>
      <c r="D28" s="139"/>
      <c r="E28" s="139"/>
      <c r="F28" s="126">
        <f t="shared" si="0"/>
        <v>0</v>
      </c>
      <c r="G28" s="224"/>
      <c r="H28" s="217"/>
      <c r="I28" s="53" t="s">
        <v>32</v>
      </c>
      <c r="J28" s="122">
        <f>'2014세출예산'!D32</f>
        <v>3000</v>
      </c>
      <c r="K28" s="122">
        <f>'2014세출예산'!E32</f>
        <v>5000</v>
      </c>
      <c r="L28" s="123">
        <f t="shared" si="1"/>
        <v>2000</v>
      </c>
    </row>
    <row r="29" spans="1:12" ht="24.75" customHeight="1">
      <c r="A29" s="138"/>
      <c r="B29" s="53"/>
      <c r="C29" s="53"/>
      <c r="D29" s="139"/>
      <c r="E29" s="139"/>
      <c r="F29" s="126">
        <f t="shared" si="0"/>
        <v>0</v>
      </c>
      <c r="G29" s="224"/>
      <c r="H29" s="217"/>
      <c r="I29" s="52" t="s">
        <v>46</v>
      </c>
      <c r="J29" s="122">
        <f>'2014세출예산'!D33</f>
        <v>5000</v>
      </c>
      <c r="K29" s="122">
        <f>'2014세출예산'!E33</f>
        <v>1500</v>
      </c>
      <c r="L29" s="123">
        <f t="shared" si="1"/>
        <v>-3500</v>
      </c>
    </row>
    <row r="30" spans="1:12" ht="24.75" customHeight="1">
      <c r="A30" s="138"/>
      <c r="B30" s="53"/>
      <c r="C30" s="53"/>
      <c r="D30" s="139"/>
      <c r="E30" s="139"/>
      <c r="F30" s="126"/>
      <c r="G30" s="223"/>
      <c r="H30" s="218"/>
      <c r="I30" s="52" t="s">
        <v>47</v>
      </c>
      <c r="J30" s="122">
        <f>'2014세출예산'!D34</f>
        <v>4840</v>
      </c>
      <c r="K30" s="122">
        <f>'2014세출예산'!E34</f>
        <v>6571</v>
      </c>
      <c r="L30" s="123">
        <f t="shared" si="1"/>
        <v>1731</v>
      </c>
    </row>
    <row r="31" spans="1:12" ht="24" customHeight="1">
      <c r="A31" s="138"/>
      <c r="B31" s="53"/>
      <c r="C31" s="53"/>
      <c r="D31" s="139"/>
      <c r="E31" s="139"/>
      <c r="F31" s="126">
        <f t="shared" si="0"/>
        <v>0</v>
      </c>
      <c r="G31" s="222" t="s">
        <v>12</v>
      </c>
      <c r="H31" s="216" t="s">
        <v>31</v>
      </c>
      <c r="I31" s="124" t="s">
        <v>19</v>
      </c>
      <c r="J31" s="125">
        <f>SUM(J32+J33+J34+J35+J36+J37+J38)</f>
        <v>246371</v>
      </c>
      <c r="K31" s="125">
        <f>SUM(K32+K33+K34+K35+K36+K37+K38)</f>
        <v>237138</v>
      </c>
      <c r="L31" s="126">
        <f>(L32+L33+L34+L35+L36+L37+L38)</f>
        <v>-9233</v>
      </c>
    </row>
    <row r="32" spans="1:12" ht="24.75" customHeight="1">
      <c r="A32" s="138"/>
      <c r="B32" s="53"/>
      <c r="C32" s="53"/>
      <c r="D32" s="144"/>
      <c r="E32" s="144"/>
      <c r="F32" s="126">
        <f t="shared" si="0"/>
        <v>0</v>
      </c>
      <c r="G32" s="224"/>
      <c r="H32" s="217"/>
      <c r="I32" s="53" t="s">
        <v>35</v>
      </c>
      <c r="J32" s="122">
        <f>'2014세출예산'!D36</f>
        <v>167903</v>
      </c>
      <c r="K32" s="122">
        <f>'2014세출예산'!E36</f>
        <v>158984</v>
      </c>
      <c r="L32" s="123">
        <f>(K32-J32)</f>
        <v>-8919</v>
      </c>
    </row>
    <row r="33" spans="1:12" ht="24.75" customHeight="1">
      <c r="A33" s="119"/>
      <c r="B33" s="120"/>
      <c r="C33" s="120"/>
      <c r="D33" s="120"/>
      <c r="E33" s="120"/>
      <c r="F33" s="121"/>
      <c r="G33" s="224"/>
      <c r="H33" s="217"/>
      <c r="I33" s="52" t="s">
        <v>48</v>
      </c>
      <c r="J33" s="122">
        <f>'2014세출예산'!D37</f>
        <v>2044</v>
      </c>
      <c r="K33" s="122">
        <f>'2014세출예산'!E37</f>
        <v>2044</v>
      </c>
      <c r="L33" s="123">
        <f aca="true" t="shared" si="2" ref="L33:L46">(K33-J33)</f>
        <v>0</v>
      </c>
    </row>
    <row r="34" spans="1:12" ht="24.75" customHeight="1">
      <c r="A34" s="119"/>
      <c r="B34" s="120"/>
      <c r="C34" s="120"/>
      <c r="D34" s="120"/>
      <c r="E34" s="120"/>
      <c r="F34" s="121"/>
      <c r="G34" s="224"/>
      <c r="H34" s="217"/>
      <c r="I34" s="53" t="s">
        <v>49</v>
      </c>
      <c r="J34" s="122">
        <f>'2014세출예산'!D38</f>
        <v>17942</v>
      </c>
      <c r="K34" s="122">
        <f>'2014세출예산'!E38</f>
        <v>15293</v>
      </c>
      <c r="L34" s="123">
        <f t="shared" si="2"/>
        <v>-2649</v>
      </c>
    </row>
    <row r="35" spans="1:12" ht="24.75" customHeight="1">
      <c r="A35" s="119"/>
      <c r="B35" s="120"/>
      <c r="C35" s="120"/>
      <c r="D35" s="120"/>
      <c r="E35" s="120"/>
      <c r="F35" s="121"/>
      <c r="G35" s="224"/>
      <c r="H35" s="217"/>
      <c r="I35" s="53" t="s">
        <v>50</v>
      </c>
      <c r="J35" s="122">
        <f>'2014세출예산'!D39</f>
        <v>960</v>
      </c>
      <c r="K35" s="122">
        <f>'2014세출예산'!E39</f>
        <v>960</v>
      </c>
      <c r="L35" s="123">
        <f t="shared" si="2"/>
        <v>0</v>
      </c>
    </row>
    <row r="36" spans="1:12" ht="24.75" customHeight="1">
      <c r="A36" s="119"/>
      <c r="B36" s="120"/>
      <c r="C36" s="120"/>
      <c r="D36" s="120"/>
      <c r="E36" s="120"/>
      <c r="F36" s="121"/>
      <c r="G36" s="224"/>
      <c r="H36" s="217"/>
      <c r="I36" s="53" t="s">
        <v>51</v>
      </c>
      <c r="J36" s="122">
        <f>'2014세출예산'!D40</f>
        <v>7500</v>
      </c>
      <c r="K36" s="122">
        <f>'2014세출예산'!E40</f>
        <v>7500</v>
      </c>
      <c r="L36" s="123">
        <f t="shared" si="2"/>
        <v>0</v>
      </c>
    </row>
    <row r="37" spans="1:12" ht="24.75" customHeight="1">
      <c r="A37" s="119"/>
      <c r="B37" s="120"/>
      <c r="C37" s="120"/>
      <c r="D37" s="120"/>
      <c r="E37" s="120"/>
      <c r="F37" s="121"/>
      <c r="G37" s="224"/>
      <c r="H37" s="217"/>
      <c r="I37" s="52" t="s">
        <v>52</v>
      </c>
      <c r="J37" s="122">
        <f>'2014세출예산'!D41</f>
        <v>19026</v>
      </c>
      <c r="K37" s="122">
        <f>'2014세출예산'!E41</f>
        <v>17757</v>
      </c>
      <c r="L37" s="123">
        <f t="shared" si="2"/>
        <v>-1269</v>
      </c>
    </row>
    <row r="38" spans="1:12" ht="24.75" customHeight="1">
      <c r="A38" s="119"/>
      <c r="B38" s="120"/>
      <c r="C38" s="120"/>
      <c r="D38" s="120"/>
      <c r="E38" s="120"/>
      <c r="F38" s="121"/>
      <c r="G38" s="224"/>
      <c r="H38" s="218"/>
      <c r="I38" s="53" t="s">
        <v>53</v>
      </c>
      <c r="J38" s="122">
        <f>'2014세출예산'!D42</f>
        <v>30996</v>
      </c>
      <c r="K38" s="122">
        <f>'2014세출예산'!E42</f>
        <v>34600</v>
      </c>
      <c r="L38" s="123">
        <f t="shared" si="2"/>
        <v>3604</v>
      </c>
    </row>
    <row r="39" spans="1:12" ht="24.75" customHeight="1">
      <c r="A39" s="119"/>
      <c r="B39" s="120"/>
      <c r="C39" s="120"/>
      <c r="D39" s="120"/>
      <c r="E39" s="120"/>
      <c r="F39" s="121"/>
      <c r="G39" s="224"/>
      <c r="H39" s="219" t="s">
        <v>59</v>
      </c>
      <c r="I39" s="124" t="s">
        <v>19</v>
      </c>
      <c r="J39" s="125">
        <f>SUM(J40+J41)</f>
        <v>21277</v>
      </c>
      <c r="K39" s="125">
        <f>SUM(K40+K41)</f>
        <v>9339</v>
      </c>
      <c r="L39" s="126">
        <f>SUM(K39-J39)</f>
        <v>-11938</v>
      </c>
    </row>
    <row r="40" spans="1:12" ht="24.75" customHeight="1">
      <c r="A40" s="119"/>
      <c r="B40" s="120"/>
      <c r="C40" s="120"/>
      <c r="D40" s="120"/>
      <c r="E40" s="120"/>
      <c r="F40" s="121"/>
      <c r="G40" s="224"/>
      <c r="H40" s="220"/>
      <c r="I40" s="52" t="s">
        <v>59</v>
      </c>
      <c r="J40" s="122">
        <f>'2014세출예산'!D44</f>
        <v>20077</v>
      </c>
      <c r="K40" s="122">
        <f>'2014세출예산'!E44</f>
        <v>9339</v>
      </c>
      <c r="L40" s="123">
        <f t="shared" si="2"/>
        <v>-10738</v>
      </c>
    </row>
    <row r="41" spans="1:12" ht="24.75" customHeight="1">
      <c r="A41" s="119"/>
      <c r="B41" s="120"/>
      <c r="C41" s="120"/>
      <c r="D41" s="120"/>
      <c r="E41" s="120"/>
      <c r="F41" s="121"/>
      <c r="G41" s="223"/>
      <c r="H41" s="221"/>
      <c r="I41" s="52" t="s">
        <v>54</v>
      </c>
      <c r="J41" s="122">
        <f>'2014세출예산'!D45</f>
        <v>1200</v>
      </c>
      <c r="K41" s="122">
        <f>'2014세출예산'!E45</f>
        <v>0</v>
      </c>
      <c r="L41" s="123">
        <f t="shared" si="2"/>
        <v>-1200</v>
      </c>
    </row>
    <row r="42" spans="1:12" ht="24.75" customHeight="1">
      <c r="A42" s="119"/>
      <c r="B42" s="120"/>
      <c r="C42" s="120"/>
      <c r="D42" s="120"/>
      <c r="E42" s="120"/>
      <c r="F42" s="121"/>
      <c r="G42" s="222" t="s">
        <v>55</v>
      </c>
      <c r="H42" s="216" t="s">
        <v>55</v>
      </c>
      <c r="I42" s="124" t="s">
        <v>19</v>
      </c>
      <c r="J42" s="125">
        <f>SUM(J43)</f>
        <v>3600</v>
      </c>
      <c r="K42" s="125">
        <f>SUM(K43)</f>
        <v>3600</v>
      </c>
      <c r="L42" s="126">
        <f t="shared" si="2"/>
        <v>0</v>
      </c>
    </row>
    <row r="43" spans="1:12" ht="24.75" customHeight="1">
      <c r="A43" s="119"/>
      <c r="B43" s="120"/>
      <c r="C43" s="120"/>
      <c r="D43" s="120"/>
      <c r="E43" s="120"/>
      <c r="F43" s="121"/>
      <c r="G43" s="223"/>
      <c r="H43" s="218"/>
      <c r="I43" s="53" t="s">
        <v>55</v>
      </c>
      <c r="J43" s="122">
        <f>'2014세출예산'!D47</f>
        <v>3600</v>
      </c>
      <c r="K43" s="122">
        <f>'2014세출예산'!E47</f>
        <v>3600</v>
      </c>
      <c r="L43" s="123">
        <f t="shared" si="2"/>
        <v>0</v>
      </c>
    </row>
    <row r="44" spans="1:12" ht="24.75" customHeight="1">
      <c r="A44" s="119"/>
      <c r="B44" s="120"/>
      <c r="C44" s="120"/>
      <c r="D44" s="120"/>
      <c r="E44" s="120"/>
      <c r="F44" s="121"/>
      <c r="G44" s="222" t="s">
        <v>146</v>
      </c>
      <c r="H44" s="219" t="s">
        <v>146</v>
      </c>
      <c r="I44" s="124" t="s">
        <v>19</v>
      </c>
      <c r="J44" s="125">
        <f>SUM(J45+J46)</f>
        <v>8684</v>
      </c>
      <c r="K44" s="125">
        <f>SUM(K45+K46)</f>
        <v>8288</v>
      </c>
      <c r="L44" s="126">
        <f t="shared" si="2"/>
        <v>-396</v>
      </c>
    </row>
    <row r="45" spans="1:12" ht="24.75" customHeight="1">
      <c r="A45" s="119"/>
      <c r="B45" s="120"/>
      <c r="C45" s="120"/>
      <c r="D45" s="120"/>
      <c r="E45" s="120"/>
      <c r="F45" s="121"/>
      <c r="G45" s="224"/>
      <c r="H45" s="220"/>
      <c r="I45" s="147" t="s">
        <v>30</v>
      </c>
      <c r="J45" s="122">
        <f>'2014세출예산'!D49</f>
        <v>8654</v>
      </c>
      <c r="K45" s="122">
        <f>'2014세출예산'!E49</f>
        <v>8018</v>
      </c>
      <c r="L45" s="123">
        <f t="shared" si="2"/>
        <v>-636</v>
      </c>
    </row>
    <row r="46" spans="1:12" ht="24.75" customHeight="1" thickBot="1">
      <c r="A46" s="184"/>
      <c r="B46" s="185"/>
      <c r="C46" s="185"/>
      <c r="D46" s="185"/>
      <c r="E46" s="185"/>
      <c r="F46" s="186"/>
      <c r="G46" s="225"/>
      <c r="H46" s="226"/>
      <c r="I46" s="150" t="s">
        <v>145</v>
      </c>
      <c r="J46" s="127">
        <f>'2014세출예산'!D50</f>
        <v>30</v>
      </c>
      <c r="K46" s="127">
        <f>'2014세출예산'!E50</f>
        <v>270</v>
      </c>
      <c r="L46" s="128">
        <f t="shared" si="2"/>
        <v>240</v>
      </c>
    </row>
    <row r="47" spans="1:12" ht="22.5" customHeight="1">
      <c r="A47" s="140"/>
      <c r="B47" s="140"/>
      <c r="C47" s="140"/>
      <c r="D47" s="140"/>
      <c r="E47" s="140"/>
      <c r="F47" s="140"/>
      <c r="G47" s="140"/>
      <c r="H47" s="140"/>
      <c r="I47" s="140"/>
      <c r="J47" s="141"/>
      <c r="K47" s="141"/>
      <c r="L47" s="141"/>
    </row>
    <row r="48" spans="1:12" ht="13.5">
      <c r="A48" s="140"/>
      <c r="B48" s="140"/>
      <c r="C48" s="140"/>
      <c r="D48" s="140"/>
      <c r="E48" s="140"/>
      <c r="F48" s="140"/>
      <c r="G48" s="140"/>
      <c r="H48" s="140"/>
      <c r="I48" s="140"/>
      <c r="J48" s="141"/>
      <c r="K48" s="141"/>
      <c r="L48" s="141"/>
    </row>
    <row r="49" spans="1:12" ht="13.5">
      <c r="A49" s="140"/>
      <c r="B49" s="140"/>
      <c r="C49" s="140"/>
      <c r="D49" s="140"/>
      <c r="E49" s="140"/>
      <c r="F49" s="140"/>
      <c r="G49" s="140"/>
      <c r="H49" s="140"/>
      <c r="I49" s="140"/>
      <c r="J49" s="141"/>
      <c r="K49" s="141"/>
      <c r="L49" s="141"/>
    </row>
    <row r="50" spans="1:12" ht="13.5">
      <c r="A50" s="140"/>
      <c r="B50" s="140"/>
      <c r="C50" s="140"/>
      <c r="D50" s="140"/>
      <c r="E50" s="140"/>
      <c r="F50" s="140"/>
      <c r="G50" s="140"/>
      <c r="H50" s="140"/>
      <c r="I50" s="140"/>
      <c r="J50" s="141"/>
      <c r="K50" s="141"/>
      <c r="L50" s="141"/>
    </row>
    <row r="51" spans="1:12" ht="13.5">
      <c r="A51" s="140"/>
      <c r="B51" s="140"/>
      <c r="C51" s="140"/>
      <c r="D51" s="140"/>
      <c r="E51" s="140"/>
      <c r="F51" s="140"/>
      <c r="G51" s="140"/>
      <c r="H51" s="140"/>
      <c r="I51" s="140"/>
      <c r="J51" s="141"/>
      <c r="K51" s="141"/>
      <c r="L51" s="141"/>
    </row>
    <row r="52" spans="1:12" ht="13.5">
      <c r="A52" s="140"/>
      <c r="B52" s="140"/>
      <c r="C52" s="140"/>
      <c r="D52" s="140"/>
      <c r="E52" s="140"/>
      <c r="F52" s="140"/>
      <c r="G52" s="140"/>
      <c r="H52" s="140"/>
      <c r="I52" s="140"/>
      <c r="J52" s="142"/>
      <c r="K52" s="142"/>
      <c r="L52" s="142"/>
    </row>
    <row r="53" spans="1:12" ht="13.5">
      <c r="A53" s="140"/>
      <c r="B53" s="140"/>
      <c r="C53" s="140"/>
      <c r="D53" s="140"/>
      <c r="E53" s="140"/>
      <c r="F53" s="140"/>
      <c r="G53" s="140"/>
      <c r="H53" s="140"/>
      <c r="I53" s="140"/>
      <c r="J53" s="142"/>
      <c r="K53" s="142"/>
      <c r="L53" s="142"/>
    </row>
    <row r="54" spans="1:12" ht="13.5">
      <c r="A54" s="140"/>
      <c r="B54" s="140"/>
      <c r="C54" s="140"/>
      <c r="D54" s="140"/>
      <c r="E54" s="140"/>
      <c r="F54" s="140"/>
      <c r="G54" s="140"/>
      <c r="H54" s="140"/>
      <c r="I54" s="140"/>
      <c r="J54" s="142"/>
      <c r="K54" s="142"/>
      <c r="L54" s="142"/>
    </row>
    <row r="55" spans="1:12" ht="13.5">
      <c r="A55" s="140"/>
      <c r="B55" s="140"/>
      <c r="C55" s="140"/>
      <c r="D55" s="140"/>
      <c r="E55" s="140"/>
      <c r="F55" s="140"/>
      <c r="G55" s="140"/>
      <c r="H55" s="140"/>
      <c r="I55" s="140"/>
      <c r="J55" s="142"/>
      <c r="K55" s="142"/>
      <c r="L55" s="142"/>
    </row>
    <row r="56" spans="1:12" ht="13.5">
      <c r="A56" s="140"/>
      <c r="B56" s="140"/>
      <c r="C56" s="140"/>
      <c r="D56" s="140"/>
      <c r="E56" s="140"/>
      <c r="F56" s="140"/>
      <c r="G56" s="140"/>
      <c r="H56" s="140"/>
      <c r="I56" s="140"/>
      <c r="J56" s="142"/>
      <c r="K56" s="142"/>
      <c r="L56" s="142"/>
    </row>
    <row r="57" spans="1:8" ht="13.5">
      <c r="A57" s="140"/>
      <c r="B57" s="140"/>
      <c r="C57" s="140"/>
      <c r="D57" s="140"/>
      <c r="E57" s="140"/>
      <c r="F57" s="140"/>
      <c r="G57" s="140"/>
      <c r="H57" s="140"/>
    </row>
  </sheetData>
  <sheetProtection/>
  <mergeCells count="44">
    <mergeCell ref="A1:L1"/>
    <mergeCell ref="A2:L2"/>
    <mergeCell ref="A3:L3"/>
    <mergeCell ref="A4:L4"/>
    <mergeCell ref="A5:L5"/>
    <mergeCell ref="A6:L6"/>
    <mergeCell ref="A7:F7"/>
    <mergeCell ref="G7:L7"/>
    <mergeCell ref="A8:A9"/>
    <mergeCell ref="B8:B9"/>
    <mergeCell ref="C8:C9"/>
    <mergeCell ref="D8:D9"/>
    <mergeCell ref="E8:E9"/>
    <mergeCell ref="G8:G9"/>
    <mergeCell ref="H8:H9"/>
    <mergeCell ref="I8:I9"/>
    <mergeCell ref="J8:J9"/>
    <mergeCell ref="K8:K9"/>
    <mergeCell ref="A10:C10"/>
    <mergeCell ref="G10:I10"/>
    <mergeCell ref="A11:A13"/>
    <mergeCell ref="B11:B13"/>
    <mergeCell ref="G11:G26"/>
    <mergeCell ref="H11:H16"/>
    <mergeCell ref="A20:A22"/>
    <mergeCell ref="B20:B22"/>
    <mergeCell ref="H31:H38"/>
    <mergeCell ref="H39:H41"/>
    <mergeCell ref="M12:M13"/>
    <mergeCell ref="A14:A16"/>
    <mergeCell ref="B14:B16"/>
    <mergeCell ref="A17:A19"/>
    <mergeCell ref="B17:B19"/>
    <mergeCell ref="H17:H19"/>
    <mergeCell ref="G42:G43"/>
    <mergeCell ref="H42:H43"/>
    <mergeCell ref="G44:G46"/>
    <mergeCell ref="H44:H46"/>
    <mergeCell ref="H20:H26"/>
    <mergeCell ref="A23:A25"/>
    <mergeCell ref="B23:B25"/>
    <mergeCell ref="G27:G30"/>
    <mergeCell ref="H27:H30"/>
    <mergeCell ref="G31:G41"/>
  </mergeCells>
  <printOptions/>
  <pageMargins left="0.2" right="0.21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3" sqref="A3:G3"/>
    </sheetView>
  </sheetViews>
  <sheetFormatPr defaultColWidth="8.88671875" defaultRowHeight="13.5"/>
  <cols>
    <col min="1" max="1" width="7.99609375" style="0" customWidth="1"/>
    <col min="2" max="2" width="8.3359375" style="0" customWidth="1"/>
    <col min="3" max="3" width="7.88671875" style="0" customWidth="1"/>
    <col min="4" max="4" width="8.88671875" style="0" customWidth="1"/>
    <col min="5" max="5" width="9.88671875" style="0" customWidth="1"/>
    <col min="6" max="6" width="8.88671875" style="0" customWidth="1"/>
    <col min="7" max="7" width="33.4453125" style="0" customWidth="1"/>
  </cols>
  <sheetData>
    <row r="1" spans="1:7" ht="18.75">
      <c r="A1" s="247" t="s">
        <v>224</v>
      </c>
      <c r="B1" s="247"/>
      <c r="C1" s="247"/>
      <c r="D1" s="247"/>
      <c r="E1" s="247"/>
      <c r="F1" s="247"/>
      <c r="G1" s="247"/>
    </row>
    <row r="2" spans="1:7" ht="18.75">
      <c r="A2" s="321" t="s">
        <v>272</v>
      </c>
      <c r="B2" s="321"/>
      <c r="C2" s="321"/>
      <c r="D2" s="321"/>
      <c r="E2" s="321"/>
      <c r="F2" s="321"/>
      <c r="G2" s="321"/>
    </row>
    <row r="3" spans="1:7" ht="18.75">
      <c r="A3" s="321" t="s">
        <v>273</v>
      </c>
      <c r="B3" s="321"/>
      <c r="C3" s="321"/>
      <c r="D3" s="321"/>
      <c r="E3" s="321"/>
      <c r="F3" s="321"/>
      <c r="G3" s="321"/>
    </row>
    <row r="4" spans="1:7" ht="22.5" customHeight="1">
      <c r="A4" s="5" t="s">
        <v>79</v>
      </c>
      <c r="B4" s="38"/>
      <c r="C4" s="38"/>
      <c r="D4" s="38"/>
      <c r="E4" s="38"/>
      <c r="F4" s="38"/>
      <c r="G4" s="39" t="s">
        <v>80</v>
      </c>
    </row>
    <row r="5" spans="1:7" ht="27" customHeight="1">
      <c r="A5" s="248" t="s">
        <v>77</v>
      </c>
      <c r="B5" s="248"/>
      <c r="C5" s="248"/>
      <c r="D5" s="249" t="s">
        <v>229</v>
      </c>
      <c r="E5" s="249" t="s">
        <v>231</v>
      </c>
      <c r="F5" s="74" t="s">
        <v>94</v>
      </c>
      <c r="G5" s="251" t="s">
        <v>73</v>
      </c>
    </row>
    <row r="6" spans="1:7" ht="25.5" customHeight="1">
      <c r="A6" s="37" t="s">
        <v>74</v>
      </c>
      <c r="B6" s="37" t="s">
        <v>64</v>
      </c>
      <c r="C6" s="37" t="s">
        <v>75</v>
      </c>
      <c r="D6" s="250"/>
      <c r="E6" s="250"/>
      <c r="F6" s="37" t="s">
        <v>121</v>
      </c>
      <c r="G6" s="251"/>
    </row>
    <row r="7" spans="1:7" s="25" customFormat="1" ht="31.5" customHeight="1">
      <c r="A7" s="244" t="s">
        <v>78</v>
      </c>
      <c r="B7" s="244"/>
      <c r="C7" s="244"/>
      <c r="D7" s="75">
        <f>SUM(D8+D13+D16+D19+D22)</f>
        <v>865481</v>
      </c>
      <c r="E7" s="75">
        <f>SUM(E8+E13+E16+E19+E22)</f>
        <v>801797</v>
      </c>
      <c r="F7" s="75">
        <f>SUM(E7-D7)</f>
        <v>-63684</v>
      </c>
      <c r="G7" s="83">
        <f>SUM(G8+G13+G16+G19+G22)</f>
        <v>801797240</v>
      </c>
    </row>
    <row r="8" spans="1:7" s="26" customFormat="1" ht="30.75" customHeight="1">
      <c r="A8" s="245" t="s">
        <v>4</v>
      </c>
      <c r="B8" s="245" t="s">
        <v>18</v>
      </c>
      <c r="C8" s="24" t="s">
        <v>19</v>
      </c>
      <c r="D8" s="75">
        <f>SUM(D9+D10+D11)</f>
        <v>794783</v>
      </c>
      <c r="E8" s="75">
        <f>SUM(E9+E10+E11)</f>
        <v>742770</v>
      </c>
      <c r="F8" s="75">
        <f>SUM(E8-D8)</f>
        <v>-52013</v>
      </c>
      <c r="G8" s="84">
        <v>742769760</v>
      </c>
    </row>
    <row r="9" spans="1:7" ht="117" customHeight="1">
      <c r="A9" s="246"/>
      <c r="B9" s="246"/>
      <c r="C9" s="145" t="s">
        <v>140</v>
      </c>
      <c r="D9" s="146">
        <v>193344</v>
      </c>
      <c r="E9" s="146">
        <v>181777</v>
      </c>
      <c r="F9" s="151">
        <f>TRUNC(E9-D9)</f>
        <v>-11567</v>
      </c>
      <c r="G9" s="183" t="s">
        <v>255</v>
      </c>
    </row>
    <row r="10" spans="1:7" ht="347.25" customHeight="1">
      <c r="A10" s="246"/>
      <c r="B10" s="246"/>
      <c r="C10" s="149" t="s">
        <v>188</v>
      </c>
      <c r="D10" s="151">
        <v>601439</v>
      </c>
      <c r="E10" s="151">
        <v>560993</v>
      </c>
      <c r="F10" s="151">
        <f>TRUNC(E10-D10)</f>
        <v>-40446</v>
      </c>
      <c r="G10" s="148" t="s">
        <v>257</v>
      </c>
    </row>
    <row r="11" spans="1:7" ht="67.5" customHeight="1">
      <c r="A11" s="40"/>
      <c r="B11" s="40"/>
      <c r="C11" s="13" t="s">
        <v>25</v>
      </c>
      <c r="D11" s="15"/>
      <c r="E11" s="15"/>
      <c r="F11" s="15">
        <f>(E11-D11)</f>
        <v>0</v>
      </c>
      <c r="G11" s="78"/>
    </row>
    <row r="12" spans="1:7" ht="0.75" customHeight="1">
      <c r="A12" s="145"/>
      <c r="B12" s="145"/>
      <c r="C12" s="145"/>
      <c r="D12" s="163"/>
      <c r="E12" s="163"/>
      <c r="F12" s="163"/>
      <c r="G12" s="162"/>
    </row>
    <row r="13" spans="1:7" ht="31.5" customHeight="1">
      <c r="A13" s="245" t="s">
        <v>26</v>
      </c>
      <c r="B13" s="245" t="s">
        <v>27</v>
      </c>
      <c r="C13" s="14" t="s">
        <v>19</v>
      </c>
      <c r="D13" s="75">
        <f>SUM(D14+D15)</f>
        <v>33000</v>
      </c>
      <c r="E13" s="75">
        <f>SUM(E14+E15)</f>
        <v>23000</v>
      </c>
      <c r="F13" s="75">
        <f>(F14+F15)</f>
        <v>-10000</v>
      </c>
      <c r="G13" s="79">
        <v>23000000</v>
      </c>
    </row>
    <row r="14" spans="1:7" ht="78.75" customHeight="1">
      <c r="A14" s="246"/>
      <c r="B14" s="246"/>
      <c r="C14" s="13" t="s">
        <v>20</v>
      </c>
      <c r="D14" s="15">
        <v>25000</v>
      </c>
      <c r="E14" s="15">
        <v>15000</v>
      </c>
      <c r="F14" s="15">
        <f aca="true" t="shared" si="0" ref="F14:F21">(E14-D14)</f>
        <v>-10000</v>
      </c>
      <c r="G14" s="80" t="s">
        <v>265</v>
      </c>
    </row>
    <row r="15" spans="1:7" ht="72.75" customHeight="1">
      <c r="A15" s="252"/>
      <c r="B15" s="252"/>
      <c r="C15" s="13" t="s">
        <v>21</v>
      </c>
      <c r="D15" s="15">
        <v>8000</v>
      </c>
      <c r="E15" s="15">
        <v>8000</v>
      </c>
      <c r="F15" s="15">
        <f t="shared" si="0"/>
        <v>0</v>
      </c>
      <c r="G15" s="78" t="s">
        <v>198</v>
      </c>
    </row>
    <row r="16" spans="1:7" ht="32.25" customHeight="1">
      <c r="A16" s="245" t="s">
        <v>9</v>
      </c>
      <c r="B16" s="245" t="s">
        <v>9</v>
      </c>
      <c r="C16" s="24" t="s">
        <v>19</v>
      </c>
      <c r="D16" s="75">
        <f>SUM(D17+D18)</f>
        <v>2250</v>
      </c>
      <c r="E16" s="75">
        <f>SUM(E17+E18)</f>
        <v>8436</v>
      </c>
      <c r="F16" s="75">
        <f t="shared" si="0"/>
        <v>6186</v>
      </c>
      <c r="G16" s="79">
        <v>8436000</v>
      </c>
    </row>
    <row r="17" spans="1:7" ht="69.75" customHeight="1">
      <c r="A17" s="246"/>
      <c r="B17" s="246"/>
      <c r="C17" s="13" t="s">
        <v>22</v>
      </c>
      <c r="D17" s="15">
        <v>0</v>
      </c>
      <c r="E17" s="15">
        <v>0</v>
      </c>
      <c r="F17" s="15">
        <f t="shared" si="0"/>
        <v>0</v>
      </c>
      <c r="G17" s="80" t="s">
        <v>153</v>
      </c>
    </row>
    <row r="18" spans="1:7" ht="66.75" customHeight="1">
      <c r="A18" s="252"/>
      <c r="B18" s="252"/>
      <c r="C18" s="13" t="s">
        <v>137</v>
      </c>
      <c r="D18" s="15">
        <v>2250</v>
      </c>
      <c r="E18" s="15">
        <v>8436</v>
      </c>
      <c r="F18" s="15">
        <f t="shared" si="0"/>
        <v>6186</v>
      </c>
      <c r="G18" s="80" t="s">
        <v>250</v>
      </c>
    </row>
    <row r="19" spans="1:7" s="6" customFormat="1" ht="32.25" customHeight="1">
      <c r="A19" s="255" t="s">
        <v>11</v>
      </c>
      <c r="B19" s="245" t="s">
        <v>11</v>
      </c>
      <c r="C19" s="76" t="s">
        <v>19</v>
      </c>
      <c r="D19" s="75">
        <f>SUM(D20+D21)</f>
        <v>26000</v>
      </c>
      <c r="E19" s="75">
        <f>SUM(E20+E21)</f>
        <v>15984</v>
      </c>
      <c r="F19" s="75">
        <f t="shared" si="0"/>
        <v>-10016</v>
      </c>
      <c r="G19" s="81">
        <v>15983980</v>
      </c>
    </row>
    <row r="20" spans="1:7" s="6" customFormat="1" ht="61.5" customHeight="1">
      <c r="A20" s="256"/>
      <c r="B20" s="246"/>
      <c r="C20" s="77" t="s">
        <v>138</v>
      </c>
      <c r="D20" s="15">
        <v>1000</v>
      </c>
      <c r="E20" s="15">
        <v>356</v>
      </c>
      <c r="F20" s="15">
        <f t="shared" si="0"/>
        <v>-644</v>
      </c>
      <c r="G20" s="82" t="s">
        <v>259</v>
      </c>
    </row>
    <row r="21" spans="1:7" s="6" customFormat="1" ht="61.5" customHeight="1">
      <c r="A21" s="257"/>
      <c r="B21" s="252"/>
      <c r="C21" s="77" t="s">
        <v>139</v>
      </c>
      <c r="D21" s="15">
        <v>25000</v>
      </c>
      <c r="E21" s="15">
        <v>15628</v>
      </c>
      <c r="F21" s="15">
        <f t="shared" si="0"/>
        <v>-9372</v>
      </c>
      <c r="G21" s="82" t="s">
        <v>260</v>
      </c>
    </row>
    <row r="22" spans="1:7" ht="31.5" customHeight="1">
      <c r="A22" s="253" t="s">
        <v>13</v>
      </c>
      <c r="B22" s="254" t="s">
        <v>13</v>
      </c>
      <c r="C22" s="76" t="s">
        <v>19</v>
      </c>
      <c r="D22" s="75">
        <f>SUM(D23+D24)</f>
        <v>9448</v>
      </c>
      <c r="E22" s="75">
        <f>SUM(E23+E24)</f>
        <v>11607</v>
      </c>
      <c r="F22" s="75">
        <f>(F23+F24)</f>
        <v>2159</v>
      </c>
      <c r="G22" s="182">
        <v>11607500</v>
      </c>
    </row>
    <row r="23" spans="1:7" ht="59.25" customHeight="1">
      <c r="A23" s="253"/>
      <c r="B23" s="253"/>
      <c r="C23" s="13" t="s">
        <v>23</v>
      </c>
      <c r="D23" s="15">
        <v>40</v>
      </c>
      <c r="E23" s="15">
        <v>40</v>
      </c>
      <c r="F23" s="15">
        <f>(E23-D23)</f>
        <v>0</v>
      </c>
      <c r="G23" s="80" t="s">
        <v>199</v>
      </c>
    </row>
    <row r="24" spans="1:7" ht="126" customHeight="1">
      <c r="A24" s="253"/>
      <c r="B24" s="253"/>
      <c r="C24" s="13" t="s">
        <v>24</v>
      </c>
      <c r="D24" s="15">
        <v>9408</v>
      </c>
      <c r="E24" s="15">
        <v>11567</v>
      </c>
      <c r="F24" s="15">
        <f>(E24-D24)</f>
        <v>2159</v>
      </c>
      <c r="G24" s="80" t="s">
        <v>251</v>
      </c>
    </row>
  </sheetData>
  <sheetProtection/>
  <mergeCells count="18">
    <mergeCell ref="B16:B18"/>
    <mergeCell ref="A1:G1"/>
    <mergeCell ref="A2:G2"/>
    <mergeCell ref="A3:G3"/>
    <mergeCell ref="A5:C5"/>
    <mergeCell ref="D5:D6"/>
    <mergeCell ref="E5:E6"/>
    <mergeCell ref="G5:G6"/>
    <mergeCell ref="A19:A21"/>
    <mergeCell ref="B19:B21"/>
    <mergeCell ref="A22:A24"/>
    <mergeCell ref="B22:B24"/>
    <mergeCell ref="A7:C7"/>
    <mergeCell ref="A8:A10"/>
    <mergeCell ref="B8:B10"/>
    <mergeCell ref="A13:A15"/>
    <mergeCell ref="B13:B15"/>
    <mergeCell ref="A16:A18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E48" sqref="E48"/>
    </sheetView>
  </sheetViews>
  <sheetFormatPr defaultColWidth="8.88671875" defaultRowHeight="13.5"/>
  <cols>
    <col min="1" max="1" width="6.10546875" style="0" customWidth="1"/>
    <col min="2" max="2" width="6.77734375" style="0" customWidth="1"/>
    <col min="3" max="3" width="8.10546875" style="0" customWidth="1"/>
    <col min="4" max="4" width="10.5546875" style="0" customWidth="1"/>
    <col min="5" max="5" width="11.5546875" style="0" customWidth="1"/>
    <col min="6" max="6" width="10.99609375" style="0" customWidth="1"/>
    <col min="7" max="7" width="31.77734375" style="0" customWidth="1"/>
    <col min="8" max="8" width="16.6640625" style="0" customWidth="1"/>
  </cols>
  <sheetData>
    <row r="1" spans="1:7" ht="28.5" customHeight="1">
      <c r="A1" s="30" t="s">
        <v>128</v>
      </c>
      <c r="B1" s="30"/>
      <c r="C1" s="4"/>
      <c r="D1" s="4"/>
      <c r="E1" s="4"/>
      <c r="F1" s="4"/>
      <c r="G1" s="7" t="s">
        <v>80</v>
      </c>
    </row>
    <row r="2" spans="1:7" ht="24.75" customHeight="1">
      <c r="A2" s="269" t="s">
        <v>77</v>
      </c>
      <c r="B2" s="270"/>
      <c r="C2" s="271"/>
      <c r="D2" s="249" t="s">
        <v>229</v>
      </c>
      <c r="E2" s="249" t="s">
        <v>231</v>
      </c>
      <c r="F2" s="3" t="s">
        <v>94</v>
      </c>
      <c r="G2" s="258" t="s">
        <v>73</v>
      </c>
    </row>
    <row r="3" spans="1:7" ht="24.75" customHeight="1">
      <c r="A3" s="2" t="s">
        <v>74</v>
      </c>
      <c r="B3" s="2" t="s">
        <v>64</v>
      </c>
      <c r="C3" s="2" t="s">
        <v>75</v>
      </c>
      <c r="D3" s="250"/>
      <c r="E3" s="250"/>
      <c r="F3" s="2" t="s">
        <v>121</v>
      </c>
      <c r="G3" s="259"/>
    </row>
    <row r="4" spans="1:7" ht="24.75" customHeight="1">
      <c r="A4" s="260" t="s">
        <v>78</v>
      </c>
      <c r="B4" s="261"/>
      <c r="C4" s="262"/>
      <c r="D4" s="9">
        <f>SUM(D5+D21+D24+D31+D35+D43+D46+D48)</f>
        <v>865481</v>
      </c>
      <c r="E4" s="9">
        <f>SUM(E5+E21+E24+E31+E35+E43+E46+E48)</f>
        <v>801797</v>
      </c>
      <c r="F4" s="27">
        <f>SUM(E4-D4)</f>
        <v>-63684</v>
      </c>
      <c r="G4" s="81">
        <f>TRUNC(G5+G21+G24+G31+G35+G43+G46+G48)</f>
        <v>801797240</v>
      </c>
    </row>
    <row r="5" spans="1:7" ht="27" customHeight="1">
      <c r="A5" s="255" t="s">
        <v>5</v>
      </c>
      <c r="B5" s="263" t="s">
        <v>19</v>
      </c>
      <c r="C5" s="264"/>
      <c r="D5" s="75">
        <f>TRUNC(D6+D11+D7+D18+D19+D20)</f>
        <v>504966</v>
      </c>
      <c r="E5" s="75">
        <f>TRUNC(E6+E11+E7+E18+E19+E20)</f>
        <v>472330</v>
      </c>
      <c r="F5" s="75">
        <f>(E5-D5)</f>
        <v>-32636</v>
      </c>
      <c r="G5" s="81">
        <v>472329940</v>
      </c>
    </row>
    <row r="6" spans="1:7" ht="37.5" customHeight="1">
      <c r="A6" s="256"/>
      <c r="B6" s="245" t="s">
        <v>127</v>
      </c>
      <c r="C6" s="12" t="s">
        <v>36</v>
      </c>
      <c r="D6" s="15">
        <v>212628</v>
      </c>
      <c r="E6" s="15">
        <v>194484</v>
      </c>
      <c r="F6" s="15">
        <f>(E6-D6)</f>
        <v>-18144</v>
      </c>
      <c r="G6" s="92" t="s">
        <v>232</v>
      </c>
    </row>
    <row r="7" spans="1:8" ht="37.5" customHeight="1">
      <c r="A7" s="256"/>
      <c r="B7" s="246"/>
      <c r="C7" s="258" t="s">
        <v>37</v>
      </c>
      <c r="D7" s="265">
        <v>215535</v>
      </c>
      <c r="E7" s="265">
        <v>205951</v>
      </c>
      <c r="F7" s="265">
        <f>E7-D7</f>
        <v>-9584</v>
      </c>
      <c r="G7" s="93" t="s">
        <v>233</v>
      </c>
      <c r="H7" s="51"/>
    </row>
    <row r="8" spans="1:7" s="6" customFormat="1" ht="37.5" customHeight="1">
      <c r="A8" s="256"/>
      <c r="B8" s="246"/>
      <c r="C8" s="267"/>
      <c r="D8" s="266"/>
      <c r="E8" s="266"/>
      <c r="F8" s="266"/>
      <c r="G8" s="93" t="s">
        <v>234</v>
      </c>
    </row>
    <row r="9" spans="1:7" s="6" customFormat="1" ht="37.5" customHeight="1">
      <c r="A9" s="256"/>
      <c r="B9" s="246"/>
      <c r="C9" s="267"/>
      <c r="D9" s="266"/>
      <c r="E9" s="266"/>
      <c r="F9" s="266"/>
      <c r="G9" s="103" t="s">
        <v>241</v>
      </c>
    </row>
    <row r="10" spans="1:7" s="6" customFormat="1" ht="37.5" customHeight="1">
      <c r="A10" s="256"/>
      <c r="B10" s="246"/>
      <c r="C10" s="267"/>
      <c r="D10" s="266"/>
      <c r="E10" s="266"/>
      <c r="F10" s="266"/>
      <c r="G10" s="103" t="s">
        <v>235</v>
      </c>
    </row>
    <row r="11" spans="1:7" s="6" customFormat="1" ht="37.5" customHeight="1">
      <c r="A11" s="256"/>
      <c r="B11" s="246"/>
      <c r="C11" s="267"/>
      <c r="D11" s="266"/>
      <c r="E11" s="266"/>
      <c r="F11" s="266"/>
      <c r="G11" s="179" t="s">
        <v>236</v>
      </c>
    </row>
    <row r="12" spans="1:7" s="6" customFormat="1" ht="37.5" customHeight="1">
      <c r="A12" s="256"/>
      <c r="B12" s="246"/>
      <c r="C12" s="267"/>
      <c r="D12" s="266"/>
      <c r="E12" s="266"/>
      <c r="F12" s="266"/>
      <c r="G12" s="93" t="s">
        <v>196</v>
      </c>
    </row>
    <row r="13" spans="1:7" s="6" customFormat="1" ht="37.5" customHeight="1">
      <c r="A13" s="256"/>
      <c r="B13" s="246"/>
      <c r="C13" s="267"/>
      <c r="D13" s="266"/>
      <c r="E13" s="266"/>
      <c r="F13" s="266"/>
      <c r="G13" s="180" t="s">
        <v>240</v>
      </c>
    </row>
    <row r="14" spans="1:7" s="6" customFormat="1" ht="37.5" customHeight="1">
      <c r="A14" s="256"/>
      <c r="B14" s="246"/>
      <c r="C14" s="267"/>
      <c r="D14" s="266"/>
      <c r="E14" s="266"/>
      <c r="F14" s="266"/>
      <c r="G14" s="93" t="s">
        <v>237</v>
      </c>
    </row>
    <row r="15" spans="1:7" s="6" customFormat="1" ht="37.5" customHeight="1">
      <c r="A15" s="256"/>
      <c r="B15" s="246"/>
      <c r="C15" s="267"/>
      <c r="D15" s="266"/>
      <c r="E15" s="266"/>
      <c r="F15" s="266"/>
      <c r="G15" s="181" t="s">
        <v>239</v>
      </c>
    </row>
    <row r="16" spans="1:7" s="6" customFormat="1" ht="37.5" customHeight="1">
      <c r="A16" s="256"/>
      <c r="B16" s="246"/>
      <c r="C16" s="267"/>
      <c r="D16" s="266"/>
      <c r="E16" s="266"/>
      <c r="F16" s="266"/>
      <c r="G16" s="180" t="s">
        <v>238</v>
      </c>
    </row>
    <row r="17" spans="1:7" s="6" customFormat="1" ht="60.75" customHeight="1">
      <c r="A17" s="256"/>
      <c r="B17" s="246"/>
      <c r="C17" s="259"/>
      <c r="D17" s="199"/>
      <c r="E17" s="199"/>
      <c r="F17" s="199"/>
      <c r="G17" s="181" t="s">
        <v>261</v>
      </c>
    </row>
    <row r="18" spans="1:7" s="6" customFormat="1" ht="57.75" customHeight="1">
      <c r="A18" s="256"/>
      <c r="B18" s="246"/>
      <c r="C18" s="13" t="s">
        <v>160</v>
      </c>
      <c r="D18" s="71">
        <v>35680</v>
      </c>
      <c r="E18" s="71">
        <v>33370</v>
      </c>
      <c r="F18" s="71">
        <f>(E18-D18)</f>
        <v>-2310</v>
      </c>
      <c r="G18" s="78" t="s">
        <v>263</v>
      </c>
    </row>
    <row r="19" spans="1:7" s="6" customFormat="1" ht="76.5" customHeight="1">
      <c r="A19" s="257"/>
      <c r="B19" s="252"/>
      <c r="C19" s="13" t="s">
        <v>161</v>
      </c>
      <c r="D19" s="71">
        <v>40123</v>
      </c>
      <c r="E19" s="71">
        <v>37525</v>
      </c>
      <c r="F19" s="71">
        <f>(E19-D19)</f>
        <v>-2598</v>
      </c>
      <c r="G19" s="95" t="s">
        <v>242</v>
      </c>
    </row>
    <row r="20" spans="1:7" s="6" customFormat="1" ht="57.75" customHeight="1">
      <c r="A20" s="155"/>
      <c r="B20" s="11" t="s">
        <v>6</v>
      </c>
      <c r="C20" s="13" t="s">
        <v>99</v>
      </c>
      <c r="D20" s="71">
        <v>1000</v>
      </c>
      <c r="E20" s="71">
        <v>1000</v>
      </c>
      <c r="F20" s="71">
        <f>(E20-D20)</f>
        <v>0</v>
      </c>
      <c r="G20" s="95" t="s">
        <v>200</v>
      </c>
    </row>
    <row r="21" spans="1:7" s="6" customFormat="1" ht="33.75" customHeight="1">
      <c r="A21" s="152"/>
      <c r="B21" s="245" t="s">
        <v>7</v>
      </c>
      <c r="C21" s="14" t="s">
        <v>19</v>
      </c>
      <c r="D21" s="75">
        <f>TRUNC(D22+D23)</f>
        <v>2000</v>
      </c>
      <c r="E21" s="75">
        <f>TRUNC(E22+E23)</f>
        <v>2000</v>
      </c>
      <c r="F21" s="75">
        <f>(E21-D21)</f>
        <v>0</v>
      </c>
      <c r="G21" s="81">
        <v>2000000</v>
      </c>
    </row>
    <row r="22" spans="1:7" s="6" customFormat="1" ht="33.75" customHeight="1">
      <c r="A22" s="152"/>
      <c r="B22" s="246"/>
      <c r="C22" s="13" t="s">
        <v>56</v>
      </c>
      <c r="D22" s="28">
        <v>1000</v>
      </c>
      <c r="E22" s="28">
        <v>1000</v>
      </c>
      <c r="F22" s="28">
        <f>E22-D22</f>
        <v>0</v>
      </c>
      <c r="G22" s="96" t="s">
        <v>29</v>
      </c>
    </row>
    <row r="23" spans="1:7" s="6" customFormat="1" ht="32.25" customHeight="1">
      <c r="A23" s="152"/>
      <c r="B23" s="252"/>
      <c r="C23" s="12" t="s">
        <v>57</v>
      </c>
      <c r="D23" s="28">
        <v>1000</v>
      </c>
      <c r="E23" s="28">
        <v>1000</v>
      </c>
      <c r="F23" s="99">
        <f>E23-D23</f>
        <v>0</v>
      </c>
      <c r="G23" s="97" t="s">
        <v>28</v>
      </c>
    </row>
    <row r="24" spans="1:7" s="6" customFormat="1" ht="34.5" customHeight="1">
      <c r="A24" s="152"/>
      <c r="B24" s="154"/>
      <c r="C24" s="14" t="s">
        <v>19</v>
      </c>
      <c r="D24" s="75">
        <f>TRUNC(D25+D26+D27+D28+D29+D30)</f>
        <v>65743</v>
      </c>
      <c r="E24" s="75">
        <f>TRUNC(E25+E26+E27+E28+E29+E30)</f>
        <v>56031</v>
      </c>
      <c r="F24" s="75">
        <f>(E24-D24)</f>
        <v>-9712</v>
      </c>
      <c r="G24" s="81">
        <v>56031440</v>
      </c>
    </row>
    <row r="25" spans="1:7" ht="81" customHeight="1">
      <c r="A25" s="152"/>
      <c r="B25" s="153"/>
      <c r="C25" s="13" t="s">
        <v>70</v>
      </c>
      <c r="D25" s="71">
        <v>4200</v>
      </c>
      <c r="E25" s="71">
        <v>1820</v>
      </c>
      <c r="F25" s="71">
        <f>(E25-D25)</f>
        <v>-2380</v>
      </c>
      <c r="G25" s="96" t="s">
        <v>253</v>
      </c>
    </row>
    <row r="26" spans="1:7" ht="215.25" customHeight="1">
      <c r="A26" s="256" t="s">
        <v>5</v>
      </c>
      <c r="B26" s="246" t="s">
        <v>31</v>
      </c>
      <c r="C26" s="40" t="s">
        <v>69</v>
      </c>
      <c r="D26" s="71">
        <v>18883</v>
      </c>
      <c r="E26" s="71">
        <v>17941</v>
      </c>
      <c r="F26" s="71">
        <f>(E26-D26)</f>
        <v>-942</v>
      </c>
      <c r="G26" s="95" t="s">
        <v>256</v>
      </c>
    </row>
    <row r="27" spans="1:7" s="6" customFormat="1" ht="122.25" customHeight="1">
      <c r="A27" s="257"/>
      <c r="B27" s="252"/>
      <c r="C27" s="13" t="s">
        <v>42</v>
      </c>
      <c r="D27" s="71">
        <v>23400</v>
      </c>
      <c r="E27" s="71">
        <v>23000</v>
      </c>
      <c r="F27" s="71">
        <f>E27-D27</f>
        <v>-400</v>
      </c>
      <c r="G27" s="95" t="s">
        <v>243</v>
      </c>
    </row>
    <row r="28" spans="1:7" s="6" customFormat="1" ht="218.25" customHeight="1">
      <c r="A28" s="255" t="s">
        <v>5</v>
      </c>
      <c r="B28" s="245" t="s">
        <v>31</v>
      </c>
      <c r="C28" s="13" t="s">
        <v>43</v>
      </c>
      <c r="D28" s="15">
        <v>7820</v>
      </c>
      <c r="E28" s="15">
        <v>7170</v>
      </c>
      <c r="F28" s="15">
        <f>E28-D28</f>
        <v>-650</v>
      </c>
      <c r="G28" s="80" t="s">
        <v>262</v>
      </c>
    </row>
    <row r="29" spans="1:7" s="6" customFormat="1" ht="120" customHeight="1">
      <c r="A29" s="256"/>
      <c r="B29" s="246"/>
      <c r="C29" s="73" t="s">
        <v>44</v>
      </c>
      <c r="D29" s="41">
        <v>7340</v>
      </c>
      <c r="E29" s="41">
        <v>4000</v>
      </c>
      <c r="F29" s="41">
        <f>(E29-D29)</f>
        <v>-3340</v>
      </c>
      <c r="G29" s="80" t="s">
        <v>264</v>
      </c>
    </row>
    <row r="30" spans="1:7" ht="47.25" customHeight="1">
      <c r="A30" s="257"/>
      <c r="B30" s="252"/>
      <c r="C30" s="13" t="s">
        <v>45</v>
      </c>
      <c r="D30" s="15">
        <v>4100</v>
      </c>
      <c r="E30" s="15">
        <v>2100</v>
      </c>
      <c r="F30" s="15">
        <f>E30-D30</f>
        <v>-2000</v>
      </c>
      <c r="G30" s="80" t="s">
        <v>254</v>
      </c>
    </row>
    <row r="31" spans="1:7" ht="33" customHeight="1">
      <c r="A31" s="245" t="s">
        <v>76</v>
      </c>
      <c r="B31" s="245" t="s">
        <v>32</v>
      </c>
      <c r="C31" s="14" t="s">
        <v>19</v>
      </c>
      <c r="D31" s="75">
        <f>TRUNC(D32+D33+D34)</f>
        <v>12840</v>
      </c>
      <c r="E31" s="75">
        <f>TRUNC(E32+E33+E34)</f>
        <v>13071</v>
      </c>
      <c r="F31" s="75">
        <f>(F32+F33+F34)</f>
        <v>231</v>
      </c>
      <c r="G31" s="98">
        <v>13071000</v>
      </c>
    </row>
    <row r="32" spans="1:7" ht="46.5" customHeight="1">
      <c r="A32" s="246"/>
      <c r="B32" s="246"/>
      <c r="C32" s="13" t="s">
        <v>32</v>
      </c>
      <c r="D32" s="15">
        <v>3000</v>
      </c>
      <c r="E32" s="15">
        <v>5000</v>
      </c>
      <c r="F32" s="15">
        <f>(E32-D32)</f>
        <v>2000</v>
      </c>
      <c r="G32" s="80" t="s">
        <v>244</v>
      </c>
    </row>
    <row r="33" spans="1:7" ht="53.25" customHeight="1">
      <c r="A33" s="246"/>
      <c r="B33" s="246"/>
      <c r="C33" s="13" t="s">
        <v>68</v>
      </c>
      <c r="D33" s="15">
        <v>5000</v>
      </c>
      <c r="E33" s="15">
        <v>1500</v>
      </c>
      <c r="F33" s="15">
        <f>(E33-D33)</f>
        <v>-3500</v>
      </c>
      <c r="G33" s="80" t="s">
        <v>267</v>
      </c>
    </row>
    <row r="34" spans="1:7" ht="211.5" customHeight="1">
      <c r="A34" s="252"/>
      <c r="B34" s="252"/>
      <c r="C34" s="13" t="s">
        <v>47</v>
      </c>
      <c r="D34" s="15">
        <v>4840</v>
      </c>
      <c r="E34" s="15">
        <v>6571</v>
      </c>
      <c r="F34" s="15">
        <f>(E34-D34)</f>
        <v>1731</v>
      </c>
      <c r="G34" s="80" t="s">
        <v>252</v>
      </c>
    </row>
    <row r="35" spans="1:7" ht="30.75" customHeight="1">
      <c r="A35" s="255" t="s">
        <v>81</v>
      </c>
      <c r="B35" s="245" t="s">
        <v>31</v>
      </c>
      <c r="C35" s="14" t="s">
        <v>19</v>
      </c>
      <c r="D35" s="85">
        <f>SUM(D36+D37+D38+D39+D40+D41+D42)</f>
        <v>246371</v>
      </c>
      <c r="E35" s="85">
        <f>SUM(E36+E37+E38+E39+E40+E41+E42)</f>
        <v>237138</v>
      </c>
      <c r="F35" s="100">
        <f>E35-D35</f>
        <v>-9233</v>
      </c>
      <c r="G35" s="81">
        <v>237137620</v>
      </c>
    </row>
    <row r="36" spans="1:7" ht="85.5" customHeight="1">
      <c r="A36" s="268"/>
      <c r="B36" s="252"/>
      <c r="C36" s="12" t="s">
        <v>82</v>
      </c>
      <c r="D36" s="86">
        <v>167903</v>
      </c>
      <c r="E36" s="86">
        <v>158984</v>
      </c>
      <c r="F36" s="101">
        <f>E36-D36</f>
        <v>-8919</v>
      </c>
      <c r="G36" s="80" t="s">
        <v>245</v>
      </c>
    </row>
    <row r="37" spans="1:7" ht="45.75" customHeight="1">
      <c r="A37" s="255" t="s">
        <v>12</v>
      </c>
      <c r="B37" s="245" t="s">
        <v>31</v>
      </c>
      <c r="C37" s="13" t="s">
        <v>97</v>
      </c>
      <c r="D37" s="87">
        <v>2044</v>
      </c>
      <c r="E37" s="87">
        <v>2044</v>
      </c>
      <c r="F37" s="72">
        <f aca="true" t="shared" si="0" ref="F37:F43">(E37-D37)</f>
        <v>0</v>
      </c>
      <c r="G37" s="80" t="s">
        <v>201</v>
      </c>
    </row>
    <row r="38" spans="1:7" ht="64.5" customHeight="1">
      <c r="A38" s="256"/>
      <c r="B38" s="246"/>
      <c r="C38" s="13" t="s">
        <v>49</v>
      </c>
      <c r="D38" s="88">
        <v>17942</v>
      </c>
      <c r="E38" s="88">
        <v>15293</v>
      </c>
      <c r="F38" s="15">
        <f t="shared" si="0"/>
        <v>-2649</v>
      </c>
      <c r="G38" s="80" t="s">
        <v>246</v>
      </c>
    </row>
    <row r="39" spans="1:7" ht="56.25" customHeight="1">
      <c r="A39" s="256"/>
      <c r="B39" s="246"/>
      <c r="C39" s="13" t="s">
        <v>50</v>
      </c>
      <c r="D39" s="88">
        <v>960</v>
      </c>
      <c r="E39" s="88">
        <v>960</v>
      </c>
      <c r="F39" s="89">
        <f t="shared" si="0"/>
        <v>0</v>
      </c>
      <c r="G39" s="80" t="s">
        <v>202</v>
      </c>
    </row>
    <row r="40" spans="1:7" ht="47.25" customHeight="1">
      <c r="A40" s="256"/>
      <c r="B40" s="246"/>
      <c r="C40" s="12" t="s">
        <v>51</v>
      </c>
      <c r="D40" s="88">
        <v>7500</v>
      </c>
      <c r="E40" s="88">
        <v>7500</v>
      </c>
      <c r="F40" s="89">
        <f t="shared" si="0"/>
        <v>0</v>
      </c>
      <c r="G40" s="80" t="s">
        <v>203</v>
      </c>
    </row>
    <row r="41" spans="1:7" ht="44.25" customHeight="1">
      <c r="A41" s="256"/>
      <c r="B41" s="246"/>
      <c r="C41" s="13" t="s">
        <v>67</v>
      </c>
      <c r="D41" s="89">
        <v>19026</v>
      </c>
      <c r="E41" s="89">
        <v>17757</v>
      </c>
      <c r="F41" s="89">
        <f t="shared" si="0"/>
        <v>-1269</v>
      </c>
      <c r="G41" s="80" t="s">
        <v>247</v>
      </c>
    </row>
    <row r="42" spans="1:7" ht="58.5" customHeight="1">
      <c r="A42" s="257"/>
      <c r="B42" s="252"/>
      <c r="C42" s="156" t="s">
        <v>53</v>
      </c>
      <c r="D42" s="157">
        <v>30996</v>
      </c>
      <c r="E42" s="157">
        <v>34600</v>
      </c>
      <c r="F42" s="158">
        <f>(E42-D42)</f>
        <v>3604</v>
      </c>
      <c r="G42" s="159" t="s">
        <v>258</v>
      </c>
    </row>
    <row r="43" spans="1:7" ht="30.75" customHeight="1">
      <c r="A43" s="255" t="s">
        <v>12</v>
      </c>
      <c r="B43" s="245" t="s">
        <v>14</v>
      </c>
      <c r="C43" s="14" t="s">
        <v>19</v>
      </c>
      <c r="D43" s="90">
        <f>TRUNC(D44+D45)</f>
        <v>21277</v>
      </c>
      <c r="E43" s="90">
        <f>TRUNC(E44+E45)</f>
        <v>9339</v>
      </c>
      <c r="F43" s="104">
        <f t="shared" si="0"/>
        <v>-11938</v>
      </c>
      <c r="G43" s="81">
        <v>9339270</v>
      </c>
    </row>
    <row r="44" spans="1:7" ht="278.25" customHeight="1">
      <c r="A44" s="257"/>
      <c r="B44" s="252"/>
      <c r="C44" s="13" t="s">
        <v>59</v>
      </c>
      <c r="D44" s="91">
        <v>20077</v>
      </c>
      <c r="E44" s="91">
        <v>9339</v>
      </c>
      <c r="F44" s="101">
        <f>E44-D44</f>
        <v>-10738</v>
      </c>
      <c r="G44" s="80" t="s">
        <v>268</v>
      </c>
    </row>
    <row r="45" spans="1:7" ht="132" customHeight="1">
      <c r="A45" s="160" t="s">
        <v>12</v>
      </c>
      <c r="B45" s="11" t="s">
        <v>14</v>
      </c>
      <c r="C45" s="13" t="s">
        <v>66</v>
      </c>
      <c r="D45" s="88">
        <v>1200</v>
      </c>
      <c r="E45" s="88">
        <v>0</v>
      </c>
      <c r="F45" s="89">
        <f aca="true" t="shared" si="1" ref="F45:F50">(E45-D45)</f>
        <v>-1200</v>
      </c>
      <c r="G45" s="80"/>
    </row>
    <row r="46" spans="1:7" ht="30" customHeight="1">
      <c r="A46" s="255" t="s">
        <v>83</v>
      </c>
      <c r="B46" s="245" t="s">
        <v>55</v>
      </c>
      <c r="C46" s="14" t="s">
        <v>19</v>
      </c>
      <c r="D46" s="85">
        <f>TRUNC(D47)</f>
        <v>3600</v>
      </c>
      <c r="E46" s="85">
        <f>TRUNC(E47)</f>
        <v>3600</v>
      </c>
      <c r="F46" s="85">
        <f t="shared" si="1"/>
        <v>0</v>
      </c>
      <c r="G46" s="81">
        <v>3600000</v>
      </c>
    </row>
    <row r="47" spans="1:9" ht="100.5" customHeight="1">
      <c r="A47" s="257"/>
      <c r="B47" s="252"/>
      <c r="C47" s="12" t="s">
        <v>83</v>
      </c>
      <c r="D47" s="88">
        <v>3600</v>
      </c>
      <c r="E47" s="88">
        <v>3600</v>
      </c>
      <c r="F47" s="88">
        <f t="shared" si="1"/>
        <v>0</v>
      </c>
      <c r="G47" s="80" t="s">
        <v>248</v>
      </c>
      <c r="I47" s="1"/>
    </row>
    <row r="48" spans="1:7" ht="36.75" customHeight="1">
      <c r="A48" s="245" t="s">
        <v>146</v>
      </c>
      <c r="B48" s="245" t="s">
        <v>146</v>
      </c>
      <c r="C48" s="14" t="s">
        <v>19</v>
      </c>
      <c r="D48" s="85">
        <f>TRUNC(D49+D50)</f>
        <v>8684</v>
      </c>
      <c r="E48" s="85">
        <f>TRUNC(E49+E50)</f>
        <v>8288</v>
      </c>
      <c r="F48" s="85">
        <f t="shared" si="1"/>
        <v>-396</v>
      </c>
      <c r="G48" s="81">
        <v>8287970</v>
      </c>
    </row>
    <row r="49" spans="1:7" ht="52.5" customHeight="1">
      <c r="A49" s="256"/>
      <c r="B49" s="256"/>
      <c r="C49" s="12" t="s">
        <v>30</v>
      </c>
      <c r="D49" s="88">
        <v>8654</v>
      </c>
      <c r="E49" s="88">
        <v>8018</v>
      </c>
      <c r="F49" s="88">
        <f t="shared" si="1"/>
        <v>-636</v>
      </c>
      <c r="G49" s="80" t="s">
        <v>266</v>
      </c>
    </row>
    <row r="50" spans="1:7" ht="62.25" customHeight="1">
      <c r="A50" s="257"/>
      <c r="B50" s="257"/>
      <c r="C50" s="12" t="s">
        <v>145</v>
      </c>
      <c r="D50" s="88">
        <v>30</v>
      </c>
      <c r="E50" s="88">
        <v>270</v>
      </c>
      <c r="F50" s="88">
        <f t="shared" si="1"/>
        <v>240</v>
      </c>
      <c r="G50" s="80" t="s">
        <v>249</v>
      </c>
    </row>
    <row r="51" spans="1:7" ht="13.5">
      <c r="A51" s="1"/>
      <c r="B51" s="1"/>
      <c r="C51" s="1"/>
      <c r="D51" s="1"/>
      <c r="E51" s="1"/>
      <c r="F51" s="1"/>
      <c r="G51" s="1"/>
    </row>
    <row r="52" spans="1:7" ht="13.5">
      <c r="A52" s="1"/>
      <c r="B52" s="1"/>
      <c r="C52" s="1"/>
      <c r="D52" s="1"/>
      <c r="E52" s="1"/>
      <c r="F52" s="1"/>
      <c r="G52" s="1"/>
    </row>
    <row r="53" spans="1:7" ht="13.5">
      <c r="A53" s="1"/>
      <c r="B53" s="1"/>
      <c r="C53" s="1"/>
      <c r="D53" s="1"/>
      <c r="E53" s="1"/>
      <c r="F53" s="1"/>
      <c r="G53" s="1"/>
    </row>
    <row r="54" spans="1:7" ht="13.5">
      <c r="A54" s="1"/>
      <c r="B54" s="1"/>
      <c r="C54" s="1"/>
      <c r="D54" s="1"/>
      <c r="E54" s="1"/>
      <c r="F54" s="1"/>
      <c r="G54" s="1"/>
    </row>
    <row r="55" spans="1:7" ht="13.5">
      <c r="A55" s="1"/>
      <c r="B55" s="1"/>
      <c r="C55" s="1"/>
      <c r="D55" s="1"/>
      <c r="E55" s="1"/>
      <c r="F55" s="1"/>
      <c r="G55" s="1"/>
    </row>
    <row r="56" spans="1:7" ht="13.5">
      <c r="A56" s="1"/>
      <c r="B56" s="1"/>
      <c r="C56" s="1"/>
      <c r="D56" s="1"/>
      <c r="E56" s="1"/>
      <c r="F56" s="1"/>
      <c r="G56" s="1"/>
    </row>
    <row r="57" spans="1:7" ht="13.5">
      <c r="A57" s="1"/>
      <c r="B57" s="1"/>
      <c r="C57" s="1"/>
      <c r="D57" s="1"/>
      <c r="E57" s="1"/>
      <c r="F57" s="1"/>
      <c r="G57" s="1"/>
    </row>
    <row r="58" spans="1:7" ht="13.5">
      <c r="A58" s="1"/>
      <c r="B58" s="1"/>
      <c r="C58" s="1"/>
      <c r="D58" s="1"/>
      <c r="E58" s="1"/>
      <c r="F58" s="1"/>
      <c r="G58" s="1"/>
    </row>
    <row r="59" spans="1:7" ht="13.5">
      <c r="A59" s="1"/>
      <c r="B59" s="1"/>
      <c r="C59" s="1"/>
      <c r="D59" s="1"/>
      <c r="E59" s="1"/>
      <c r="F59" s="1"/>
      <c r="G59" s="1"/>
    </row>
    <row r="60" spans="1:7" ht="13.5">
      <c r="A60" s="1"/>
      <c r="B60" s="1"/>
      <c r="C60" s="1"/>
      <c r="D60" s="1"/>
      <c r="E60" s="1"/>
      <c r="F60" s="1"/>
      <c r="G60" s="1"/>
    </row>
    <row r="61" spans="1:7" ht="13.5">
      <c r="A61" s="1"/>
      <c r="B61" s="1"/>
      <c r="C61" s="1"/>
      <c r="D61" s="1"/>
      <c r="E61" s="1"/>
      <c r="F61" s="1"/>
      <c r="G61" s="1"/>
    </row>
    <row r="62" spans="1:7" ht="13.5">
      <c r="A62" s="1"/>
      <c r="B62" s="1"/>
      <c r="C62" s="1"/>
      <c r="D62" s="1"/>
      <c r="E62" s="1"/>
      <c r="F62" s="1"/>
      <c r="G62" s="1"/>
    </row>
    <row r="63" spans="1:7" ht="13.5">
      <c r="A63" s="1"/>
      <c r="B63" s="1"/>
      <c r="C63" s="1"/>
      <c r="D63" s="1"/>
      <c r="E63" s="1"/>
      <c r="F63" s="1"/>
      <c r="G63" s="1"/>
    </row>
    <row r="64" spans="1:7" ht="13.5">
      <c r="A64" s="1"/>
      <c r="B64" s="1"/>
      <c r="C64" s="1"/>
      <c r="D64" s="1"/>
      <c r="E64" s="1"/>
      <c r="F64" s="1"/>
      <c r="G64" s="1"/>
    </row>
    <row r="65" spans="1:7" ht="13.5">
      <c r="A65" s="1"/>
      <c r="B65" s="1"/>
      <c r="C65" s="1"/>
      <c r="D65" s="1"/>
      <c r="E65" s="1"/>
      <c r="F65" s="1"/>
      <c r="G65" s="1"/>
    </row>
    <row r="66" spans="1:7" ht="13.5">
      <c r="A66" s="1"/>
      <c r="B66" s="1"/>
      <c r="C66" s="1"/>
      <c r="D66" s="1"/>
      <c r="E66" s="1"/>
      <c r="F66" s="1"/>
      <c r="G66" s="1"/>
    </row>
    <row r="67" spans="1:7" ht="13.5">
      <c r="A67" s="1"/>
      <c r="B67" s="1"/>
      <c r="C67" s="1"/>
      <c r="D67" s="1"/>
      <c r="E67" s="1"/>
      <c r="F67" s="1"/>
      <c r="G67" s="1"/>
    </row>
    <row r="68" spans="1:7" ht="13.5">
      <c r="A68" s="1"/>
      <c r="B68" s="1"/>
      <c r="C68" s="1"/>
      <c r="D68" s="1"/>
      <c r="E68" s="1"/>
      <c r="F68" s="1"/>
      <c r="G68" s="1"/>
    </row>
    <row r="69" spans="1:7" ht="13.5">
      <c r="A69" s="1"/>
      <c r="B69" s="1"/>
      <c r="C69" s="1"/>
      <c r="D69" s="1"/>
      <c r="E69" s="1"/>
      <c r="F69" s="1"/>
      <c r="G69" s="1"/>
    </row>
    <row r="70" spans="1:7" ht="13.5">
      <c r="A70" s="1"/>
      <c r="B70" s="1"/>
      <c r="C70" s="1"/>
      <c r="D70" s="1"/>
      <c r="E70" s="1"/>
      <c r="F70" s="1"/>
      <c r="G70" s="1"/>
    </row>
    <row r="71" spans="1:7" ht="13.5">
      <c r="A71" s="1"/>
      <c r="B71" s="1"/>
      <c r="C71" s="1"/>
      <c r="D71" s="1"/>
      <c r="E71" s="1"/>
      <c r="F71" s="1"/>
      <c r="G71" s="1"/>
    </row>
    <row r="72" spans="1:7" ht="13.5">
      <c r="A72" s="1"/>
      <c r="B72" s="1"/>
      <c r="C72" s="1"/>
      <c r="D72" s="1"/>
      <c r="E72" s="1"/>
      <c r="F72" s="1"/>
      <c r="G72" s="1"/>
    </row>
  </sheetData>
  <sheetProtection/>
  <mergeCells count="29">
    <mergeCell ref="A2:C2"/>
    <mergeCell ref="D2:D3"/>
    <mergeCell ref="E2:E3"/>
    <mergeCell ref="G2:G3"/>
    <mergeCell ref="A4:C4"/>
    <mergeCell ref="A5:A19"/>
    <mergeCell ref="B5:C5"/>
    <mergeCell ref="B6:B19"/>
    <mergeCell ref="C7:C17"/>
    <mergeCell ref="D7:D17"/>
    <mergeCell ref="E7:E17"/>
    <mergeCell ref="F7:F17"/>
    <mergeCell ref="B21:B23"/>
    <mergeCell ref="A26:A27"/>
    <mergeCell ref="B26:B27"/>
    <mergeCell ref="A28:A30"/>
    <mergeCell ref="B28:B30"/>
    <mergeCell ref="A31:A34"/>
    <mergeCell ref="B31:B34"/>
    <mergeCell ref="A35:A36"/>
    <mergeCell ref="B35:B36"/>
    <mergeCell ref="A37:A42"/>
    <mergeCell ref="B37:B42"/>
    <mergeCell ref="A43:A44"/>
    <mergeCell ref="B43:B44"/>
    <mergeCell ref="A46:A47"/>
    <mergeCell ref="B46:B47"/>
    <mergeCell ref="A48:A50"/>
    <mergeCell ref="B48:B50"/>
  </mergeCells>
  <printOptions/>
  <pageMargins left="0.22" right="0.2" top="0.75" bottom="0.5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Your User Name</cp:lastModifiedBy>
  <cp:lastPrinted>2014-12-03T15:25:07Z</cp:lastPrinted>
  <dcterms:created xsi:type="dcterms:W3CDTF">2003-05-17T05:47:15Z</dcterms:created>
  <dcterms:modified xsi:type="dcterms:W3CDTF">2014-12-24T08:27:17Z</dcterms:modified>
  <cp:category/>
  <cp:version/>
  <cp:contentType/>
  <cp:contentStatus/>
</cp:coreProperties>
</file>